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aguannosim\OneDrive - Cassa Depositi e Prestiti\Desktop\Documenti da allegare alle mail\"/>
    </mc:Choice>
  </mc:AlternateContent>
  <xr:revisionPtr revIDLastSave="0" documentId="8_{5A6D1A4E-0EF5-4C2D-829E-0AE806081763}" xr6:coauthVersionLast="47" xr6:coauthVersionMax="47" xr10:uidLastSave="{00000000-0000-0000-0000-000000000000}"/>
  <workbookProtection workbookAlgorithmName="SHA-512" workbookHashValue="6LBKJ/3tNCWTMS/koHOQnQ11kbjl7PCWDHZbWhImM0XVcAzb84ssM37Hx61vUbxtxOEMbh0iiTiGU8CV196Jvg==" workbookSaltValue="peoEBrDjtHqtyzfxSvpchg==" workbookSpinCount="100000" lockStructure="1"/>
  <bookViews>
    <workbookView xWindow="-120" yWindow="-120" windowWidth="29040" windowHeight="15840" xr2:uid="{00000000-000D-0000-FFFF-FFFF00000000}"/>
  </bookViews>
  <sheets>
    <sheet name="Sintesi" sheetId="4" r:id="rId1"/>
    <sheet name="Piano amm_Scoring migliori" sheetId="3" state="hidden" r:id="rId2"/>
    <sheet name="Piano amm_Scoring intermedi" sheetId="7" state="hidden" r:id="rId3"/>
    <sheet name="Piano amm_Scoring ultimi" sheetId="9" state="hidden" r:id="rId4"/>
    <sheet name="Input" sheetId="2" state="hidden" r:id="rId5"/>
  </sheets>
  <definedNames>
    <definedName name="ListaCat">Input!$J$2:$J$3</definedName>
    <definedName name="No">Input!$J$3</definedName>
    <definedName name="Sì">Input!$J$2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O11" i="9"/>
  <c r="J12" i="9"/>
  <c r="S20" i="9"/>
  <c r="L10" i="9"/>
  <c r="G10" i="9"/>
  <c r="L9" i="9"/>
  <c r="G9" i="9"/>
  <c r="Q20" i="9" s="1"/>
  <c r="D9" i="9"/>
  <c r="D11" i="9" s="1"/>
  <c r="L9" i="7"/>
  <c r="S20" i="7"/>
  <c r="O11" i="7"/>
  <c r="J12" i="7"/>
  <c r="L10" i="7"/>
  <c r="G10" i="7"/>
  <c r="G9" i="7"/>
  <c r="Q20" i="7" s="1"/>
  <c r="D9" i="7"/>
  <c r="D11" i="7" s="1"/>
  <c r="G10" i="3"/>
  <c r="L9" i="3"/>
  <c r="O11" i="3"/>
  <c r="S20" i="3" s="1"/>
  <c r="J12" i="3"/>
  <c r="L10" i="3"/>
  <c r="G9" i="3"/>
  <c r="Q19" i="3" s="1"/>
  <c r="D9" i="3"/>
  <c r="D10" i="9" l="1"/>
  <c r="J11" i="9"/>
  <c r="J9" i="9" s="1"/>
  <c r="D10" i="7"/>
  <c r="Q19" i="9"/>
  <c r="E29" i="9" s="1"/>
  <c r="J11" i="7"/>
  <c r="J9" i="7" s="1"/>
  <c r="J11" i="3"/>
  <c r="J9" i="3" s="1"/>
  <c r="Q19" i="7"/>
  <c r="E29" i="7" s="1"/>
  <c r="D11" i="3"/>
  <c r="Q20" i="3"/>
  <c r="E21" i="3" s="1"/>
  <c r="F21" i="3" s="1"/>
  <c r="D10" i="3"/>
  <c r="E21" i="9" l="1"/>
  <c r="D21" i="9" s="1"/>
  <c r="I21" i="9" s="1"/>
  <c r="E22" i="9"/>
  <c r="E20" i="9"/>
  <c r="D20" i="9" s="1"/>
  <c r="J20" i="9" s="1"/>
  <c r="E26" i="9"/>
  <c r="E19" i="9"/>
  <c r="F19" i="9" s="1"/>
  <c r="G19" i="9" s="1"/>
  <c r="E24" i="9"/>
  <c r="E25" i="9"/>
  <c r="E18" i="9"/>
  <c r="F18" i="9" s="1"/>
  <c r="E23" i="9"/>
  <c r="E27" i="9"/>
  <c r="E28" i="9"/>
  <c r="Q18" i="9"/>
  <c r="F29" i="9" s="1"/>
  <c r="G29" i="9" s="1"/>
  <c r="E25" i="3"/>
  <c r="E21" i="7"/>
  <c r="D21" i="7" s="1"/>
  <c r="E22" i="7"/>
  <c r="E19" i="3"/>
  <c r="F19" i="3" s="1"/>
  <c r="E25" i="7"/>
  <c r="E24" i="7"/>
  <c r="E20" i="7"/>
  <c r="D20" i="7" s="1"/>
  <c r="E29" i="3"/>
  <c r="E20" i="3"/>
  <c r="F20" i="3" s="1"/>
  <c r="E18" i="7"/>
  <c r="E27" i="7"/>
  <c r="E18" i="3"/>
  <c r="E26" i="3"/>
  <c r="E19" i="7"/>
  <c r="F19" i="7" s="1"/>
  <c r="G19" i="7" s="1"/>
  <c r="E28" i="7"/>
  <c r="E23" i="3"/>
  <c r="E27" i="3"/>
  <c r="E26" i="7"/>
  <c r="E23" i="7"/>
  <c r="E22" i="3"/>
  <c r="E28" i="3"/>
  <c r="Q18" i="7"/>
  <c r="F29" i="7" s="1"/>
  <c r="G29" i="7" s="1"/>
  <c r="E24" i="3"/>
  <c r="Q18" i="3"/>
  <c r="F28" i="7" l="1"/>
  <c r="G28" i="7" s="1"/>
  <c r="F28" i="3"/>
  <c r="G28" i="3" s="1"/>
  <c r="F26" i="7"/>
  <c r="G26" i="7" s="1"/>
  <c r="F27" i="7"/>
  <c r="G27" i="7" s="1"/>
  <c r="F21" i="9"/>
  <c r="G21" i="9" s="1"/>
  <c r="F26" i="9"/>
  <c r="G26" i="9" s="1"/>
  <c r="F20" i="9"/>
  <c r="G20" i="9" s="1"/>
  <c r="F25" i="9"/>
  <c r="G25" i="9" s="1"/>
  <c r="F22" i="7"/>
  <c r="G22" i="7" s="1"/>
  <c r="D19" i="9"/>
  <c r="I19" i="9" s="1"/>
  <c r="F23" i="9"/>
  <c r="G23" i="9" s="1"/>
  <c r="D22" i="7"/>
  <c r="I22" i="7" s="1"/>
  <c r="F22" i="9"/>
  <c r="G22" i="9" s="1"/>
  <c r="D22" i="9"/>
  <c r="J22" i="9" s="1"/>
  <c r="D19" i="7"/>
  <c r="I19" i="7" s="1"/>
  <c r="F27" i="9"/>
  <c r="G27" i="9" s="1"/>
  <c r="H21" i="9"/>
  <c r="J21" i="9"/>
  <c r="F18" i="3"/>
  <c r="G18" i="3" s="1"/>
  <c r="F28" i="9"/>
  <c r="G28" i="9" s="1"/>
  <c r="F21" i="7"/>
  <c r="G21" i="7" s="1"/>
  <c r="F23" i="7"/>
  <c r="G23" i="7" s="1"/>
  <c r="F24" i="9"/>
  <c r="G24" i="9" s="1"/>
  <c r="D18" i="9"/>
  <c r="H18" i="9" s="1"/>
  <c r="D18" i="7"/>
  <c r="H18" i="7" s="1"/>
  <c r="F24" i="3"/>
  <c r="G24" i="3" s="1"/>
  <c r="F25" i="7"/>
  <c r="G25" i="7" s="1"/>
  <c r="H20" i="9"/>
  <c r="M20" i="9" s="1"/>
  <c r="N20" i="9" s="1"/>
  <c r="I20" i="9"/>
  <c r="G18" i="9"/>
  <c r="F22" i="3"/>
  <c r="G22" i="3" s="1"/>
  <c r="F23" i="3"/>
  <c r="G23" i="3" s="1"/>
  <c r="J20" i="7"/>
  <c r="F24" i="7"/>
  <c r="G24" i="7" s="1"/>
  <c r="H21" i="7"/>
  <c r="F26" i="3"/>
  <c r="G26" i="3" s="1"/>
  <c r="I21" i="7"/>
  <c r="D18" i="3"/>
  <c r="J18" i="3" s="1"/>
  <c r="F27" i="3"/>
  <c r="G27" i="3" s="1"/>
  <c r="F18" i="7"/>
  <c r="J21" i="7"/>
  <c r="F20" i="7"/>
  <c r="G20" i="7" s="1"/>
  <c r="F29" i="3"/>
  <c r="G29" i="3" s="1"/>
  <c r="F25" i="3"/>
  <c r="G25" i="3" s="1"/>
  <c r="H20" i="7"/>
  <c r="I20" i="7"/>
  <c r="G19" i="3"/>
  <c r="G21" i="3"/>
  <c r="G20" i="3"/>
  <c r="D19" i="3"/>
  <c r="H19" i="3" s="1"/>
  <c r="D20" i="3"/>
  <c r="D21" i="3" s="1"/>
  <c r="D22" i="3" s="1"/>
  <c r="D23" i="3" s="1"/>
  <c r="D24" i="3" s="1"/>
  <c r="D25" i="3" s="1"/>
  <c r="D26" i="3" s="1"/>
  <c r="D27" i="3" s="1"/>
  <c r="D28" i="3" s="1"/>
  <c r="D29" i="3" s="1"/>
  <c r="H29" i="3" s="1"/>
  <c r="J22" i="7" l="1"/>
  <c r="D23" i="7"/>
  <c r="I23" i="7" s="1"/>
  <c r="I18" i="7"/>
  <c r="H19" i="9"/>
  <c r="J19" i="7"/>
  <c r="M20" i="7"/>
  <c r="N20" i="7" s="1"/>
  <c r="H22" i="7"/>
  <c r="I22" i="9"/>
  <c r="H19" i="7"/>
  <c r="J19" i="9"/>
  <c r="D23" i="9"/>
  <c r="I23" i="9" s="1"/>
  <c r="M21" i="9"/>
  <c r="N21" i="9" s="1"/>
  <c r="H22" i="9"/>
  <c r="M22" i="9" s="1"/>
  <c r="N22" i="9" s="1"/>
  <c r="F30" i="9"/>
  <c r="I18" i="3"/>
  <c r="I18" i="9"/>
  <c r="J18" i="9"/>
  <c r="M18" i="9" s="1"/>
  <c r="H18" i="3"/>
  <c r="M18" i="3" s="1"/>
  <c r="N18" i="3" s="1"/>
  <c r="F30" i="7"/>
  <c r="M21" i="7"/>
  <c r="N21" i="7" s="1"/>
  <c r="J18" i="7"/>
  <c r="M18" i="7" s="1"/>
  <c r="N18" i="7" s="1"/>
  <c r="K18" i="9"/>
  <c r="G30" i="9"/>
  <c r="G18" i="7"/>
  <c r="K18" i="7" s="1"/>
  <c r="L18" i="7" s="1"/>
  <c r="I27" i="3"/>
  <c r="H27" i="3"/>
  <c r="I26" i="3"/>
  <c r="F30" i="3"/>
  <c r="I28" i="3"/>
  <c r="H26" i="3"/>
  <c r="J29" i="3"/>
  <c r="M29" i="3" s="1"/>
  <c r="J28" i="3"/>
  <c r="I29" i="3"/>
  <c r="J27" i="3"/>
  <c r="H28" i="3"/>
  <c r="J26" i="3"/>
  <c r="J25" i="3"/>
  <c r="J24" i="3"/>
  <c r="J23" i="3"/>
  <c r="J22" i="3"/>
  <c r="J21" i="3"/>
  <c r="J20" i="3"/>
  <c r="G30" i="3"/>
  <c r="K18" i="3"/>
  <c r="J19" i="3"/>
  <c r="M19" i="3" s="1"/>
  <c r="H24" i="3"/>
  <c r="I24" i="3"/>
  <c r="I25" i="3"/>
  <c r="I22" i="3"/>
  <c r="I19" i="3"/>
  <c r="H25" i="3"/>
  <c r="H20" i="3"/>
  <c r="H21" i="3"/>
  <c r="H23" i="3"/>
  <c r="I20" i="3"/>
  <c r="I21" i="3"/>
  <c r="I23" i="3"/>
  <c r="H22" i="3"/>
  <c r="M24" i="3" l="1"/>
  <c r="N24" i="3" s="1"/>
  <c r="M26" i="3"/>
  <c r="N26" i="3" s="1"/>
  <c r="M28" i="3"/>
  <c r="N28" i="3" s="1"/>
  <c r="M27" i="3"/>
  <c r="N27" i="3" s="1"/>
  <c r="N29" i="3"/>
  <c r="J23" i="7"/>
  <c r="M22" i="7"/>
  <c r="N22" i="7" s="1"/>
  <c r="D24" i="7"/>
  <c r="H24" i="7" s="1"/>
  <c r="H23" i="7"/>
  <c r="M19" i="7"/>
  <c r="N19" i="7" s="1"/>
  <c r="M19" i="9"/>
  <c r="N19" i="9" s="1"/>
  <c r="M21" i="3"/>
  <c r="N21" i="3" s="1"/>
  <c r="J23" i="9"/>
  <c r="H23" i="9"/>
  <c r="D24" i="9"/>
  <c r="I24" i="9" s="1"/>
  <c r="M25" i="3"/>
  <c r="N25" i="3" s="1"/>
  <c r="M20" i="3"/>
  <c r="N20" i="3" s="1"/>
  <c r="M23" i="3"/>
  <c r="N23" i="3" s="1"/>
  <c r="G30" i="7"/>
  <c r="M22" i="3"/>
  <c r="N22" i="3" s="1"/>
  <c r="N18" i="9"/>
  <c r="K19" i="9"/>
  <c r="L18" i="9"/>
  <c r="K19" i="7"/>
  <c r="I30" i="3"/>
  <c r="J30" i="3"/>
  <c r="K19" i="3"/>
  <c r="L18" i="3"/>
  <c r="H30" i="3"/>
  <c r="M23" i="7" l="1"/>
  <c r="N23" i="7" s="1"/>
  <c r="I24" i="7"/>
  <c r="D25" i="7"/>
  <c r="I25" i="7" s="1"/>
  <c r="J24" i="7"/>
  <c r="M24" i="7" s="1"/>
  <c r="N24" i="7" s="1"/>
  <c r="M23" i="9"/>
  <c r="N23" i="9" s="1"/>
  <c r="H24" i="9"/>
  <c r="D25" i="9"/>
  <c r="I25" i="9" s="1"/>
  <c r="J24" i="9"/>
  <c r="K20" i="9"/>
  <c r="L19" i="9"/>
  <c r="K20" i="7"/>
  <c r="L19" i="7"/>
  <c r="N19" i="3"/>
  <c r="M30" i="3"/>
  <c r="L19" i="3"/>
  <c r="K20" i="3"/>
  <c r="H25" i="9" l="1"/>
  <c r="D26" i="9"/>
  <c r="J25" i="7"/>
  <c r="D26" i="7"/>
  <c r="H25" i="7"/>
  <c r="J25" i="9"/>
  <c r="M24" i="9"/>
  <c r="N24" i="9" s="1"/>
  <c r="K21" i="9"/>
  <c r="L20" i="9"/>
  <c r="K21" i="7"/>
  <c r="L20" i="7"/>
  <c r="N30" i="3"/>
  <c r="J10" i="3"/>
  <c r="K21" i="3"/>
  <c r="L20" i="3"/>
  <c r="D27" i="7" l="1"/>
  <c r="J26" i="7"/>
  <c r="I26" i="7"/>
  <c r="H26" i="7"/>
  <c r="D27" i="9"/>
  <c r="I26" i="9"/>
  <c r="H26" i="9"/>
  <c r="J26" i="9"/>
  <c r="M25" i="7"/>
  <c r="N25" i="7" s="1"/>
  <c r="M25" i="9"/>
  <c r="N25" i="9" s="1"/>
  <c r="O10" i="3"/>
  <c r="C16" i="4"/>
  <c r="K22" i="9"/>
  <c r="L21" i="9"/>
  <c r="K22" i="7"/>
  <c r="L21" i="7"/>
  <c r="K22" i="3"/>
  <c r="L21" i="3"/>
  <c r="M26" i="7" l="1"/>
  <c r="N26" i="7" s="1"/>
  <c r="M26" i="9"/>
  <c r="N26" i="9" s="1"/>
  <c r="D28" i="9"/>
  <c r="J27" i="9"/>
  <c r="H27" i="9"/>
  <c r="I27" i="9"/>
  <c r="D28" i="7"/>
  <c r="I27" i="7"/>
  <c r="J27" i="7"/>
  <c r="H27" i="7"/>
  <c r="K23" i="9"/>
  <c r="L22" i="9"/>
  <c r="K23" i="7"/>
  <c r="L22" i="7"/>
  <c r="K23" i="3"/>
  <c r="L22" i="3"/>
  <c r="M27" i="9" l="1"/>
  <c r="N27" i="9" s="1"/>
  <c r="M27" i="7"/>
  <c r="N27" i="7" s="1"/>
  <c r="D29" i="7"/>
  <c r="H28" i="7"/>
  <c r="J28" i="7"/>
  <c r="I28" i="7"/>
  <c r="D29" i="9"/>
  <c r="J28" i="9"/>
  <c r="H28" i="9"/>
  <c r="I28" i="9"/>
  <c r="K24" i="9"/>
  <c r="L23" i="9"/>
  <c r="K24" i="7"/>
  <c r="L23" i="7"/>
  <c r="K24" i="3"/>
  <c r="L23" i="3"/>
  <c r="M28" i="9" l="1"/>
  <c r="N28" i="9" s="1"/>
  <c r="M28" i="7"/>
  <c r="N28" i="7" s="1"/>
  <c r="H29" i="7"/>
  <c r="H30" i="7" s="1"/>
  <c r="J29" i="7"/>
  <c r="J30" i="7" s="1"/>
  <c r="I29" i="7"/>
  <c r="I30" i="7" s="1"/>
  <c r="J29" i="9"/>
  <c r="J30" i="9" s="1"/>
  <c r="I29" i="9"/>
  <c r="I30" i="9" s="1"/>
  <c r="H29" i="9"/>
  <c r="H30" i="9" s="1"/>
  <c r="K25" i="9"/>
  <c r="L24" i="9"/>
  <c r="K25" i="7"/>
  <c r="L24" i="7"/>
  <c r="K25" i="3"/>
  <c r="L24" i="3"/>
  <c r="M29" i="9" l="1"/>
  <c r="N29" i="9" s="1"/>
  <c r="M29" i="7"/>
  <c r="K26" i="9"/>
  <c r="L25" i="9"/>
  <c r="K26" i="7"/>
  <c r="L25" i="7"/>
  <c r="L25" i="3"/>
  <c r="K26" i="3"/>
  <c r="M30" i="9" l="1"/>
  <c r="J10" i="9"/>
  <c r="C18" i="4" s="1"/>
  <c r="N30" i="9"/>
  <c r="M30" i="7"/>
  <c r="N29" i="7"/>
  <c r="K27" i="9"/>
  <c r="L26" i="9"/>
  <c r="K27" i="7"/>
  <c r="L26" i="7"/>
  <c r="L26" i="3"/>
  <c r="K27" i="3"/>
  <c r="O10" i="9" l="1"/>
  <c r="J10" i="7"/>
  <c r="N30" i="7"/>
  <c r="K28" i="9"/>
  <c r="L27" i="9"/>
  <c r="K28" i="7"/>
  <c r="L27" i="7"/>
  <c r="K28" i="3"/>
  <c r="L27" i="3"/>
  <c r="O10" i="7" l="1"/>
  <c r="C17" i="4"/>
  <c r="K29" i="9"/>
  <c r="L29" i="9" s="1"/>
  <c r="L28" i="9"/>
  <c r="K29" i="7"/>
  <c r="L29" i="7" s="1"/>
  <c r="L28" i="7"/>
  <c r="K29" i="3"/>
  <c r="L29" i="3" s="1"/>
  <c r="L28" i="3"/>
</calcChain>
</file>

<file path=xl/sharedStrings.xml><?xml version="1.0" encoding="utf-8"?>
<sst xmlns="http://schemas.openxmlformats.org/spreadsheetml/2006/main" count="168" uniqueCount="75">
  <si>
    <t>Durata Preamm</t>
  </si>
  <si>
    <t>Durata Amm</t>
  </si>
  <si>
    <t>Anno</t>
  </si>
  <si>
    <t>BP (1-5)</t>
  </si>
  <si>
    <t>Quota capitale</t>
  </si>
  <si>
    <t>N. Rata</t>
  </si>
  <si>
    <t>Delta interessi</t>
  </si>
  <si>
    <t>IM</t>
  </si>
  <si>
    <t>Quota FP</t>
  </si>
  <si>
    <t>Durata (semestri)</t>
  </si>
  <si>
    <t>Altri</t>
  </si>
  <si>
    <t>Scoring MCC</t>
  </si>
  <si>
    <t>Maggiorazioni</t>
  </si>
  <si>
    <t>N.A.</t>
  </si>
  <si>
    <t>Prodotto</t>
  </si>
  <si>
    <t>Fondo perduto</t>
  </si>
  <si>
    <t>Sì</t>
  </si>
  <si>
    <t>No</t>
  </si>
  <si>
    <t>FP</t>
  </si>
  <si>
    <t>Codifica</t>
  </si>
  <si>
    <t>Inserimento mercati esteri</t>
  </si>
  <si>
    <t>Durata</t>
  </si>
  <si>
    <t>Preammortamento</t>
  </si>
  <si>
    <t>E-commerce</t>
  </si>
  <si>
    <t>Fiere ed eventi</t>
  </si>
  <si>
    <t>Temporary manager</t>
  </si>
  <si>
    <t>Transizione digitale ed ecologica</t>
  </si>
  <si>
    <t>Certificazioni e consulenze</t>
  </si>
  <si>
    <t>% di tasso agevolato di cui si vuole usufruire</t>
  </si>
  <si>
    <t>Importo intervento agevolativo</t>
  </si>
  <si>
    <t>Scoring migliori (classe 1 e 2)</t>
  </si>
  <si>
    <t>Scoring intermedi (classe 3, 4 e 5)</t>
  </si>
  <si>
    <t>1; 2</t>
  </si>
  <si>
    <t>3; 4; 5</t>
  </si>
  <si>
    <t>Scoring ultimi (classe 6, 7, 8 e 9)</t>
  </si>
  <si>
    <t>6; 7; 8; 9</t>
  </si>
  <si>
    <t>Importo 
Rata</t>
  </si>
  <si>
    <t>Periodi</t>
  </si>
  <si>
    <t xml:space="preserve">Tipologia di prodotto </t>
  </si>
  <si>
    <t>Agevolazione complessiva scoring migliori (classe 1 e 2)</t>
  </si>
  <si>
    <t>Agevolazione complessiva scoring intermedi (classe 3, 4 e 5)</t>
  </si>
  <si>
    <t>Agevolazione complessiva scoring ultimi (classe 6, 7, 8 e 9)</t>
  </si>
  <si>
    <t>Tassi</t>
  </si>
  <si>
    <t>Tasso Agevolato</t>
  </si>
  <si>
    <t>Tasso Teorico</t>
  </si>
  <si>
    <t>Tasso Riferimento UE</t>
  </si>
  <si>
    <t>Tipologia</t>
  </si>
  <si>
    <t>Descrizione</t>
  </si>
  <si>
    <t>Valori Intervento Agevolativo</t>
  </si>
  <si>
    <t>Valore Agevolazione</t>
  </si>
  <si>
    <t>% Agevolazione</t>
  </si>
  <si>
    <t>% FP</t>
  </si>
  <si>
    <t>Plafond De Minimis</t>
  </si>
  <si>
    <t>Piano di Ammortamento</t>
  </si>
  <si>
    <t>Tipo 
Rata</t>
  </si>
  <si>
    <t>Dati residuali</t>
  </si>
  <si>
    <t>Residuo De Minimis</t>
  </si>
  <si>
    <t>Rata interessi 
Agevolato</t>
  </si>
  <si>
    <t>Rata interessi 
Riferimento UE</t>
  </si>
  <si>
    <t>Rata interessi 
Teorico</t>
  </si>
  <si>
    <t>Importo 
cumulato</t>
  </si>
  <si>
    <t>Importo 
residuo</t>
  </si>
  <si>
    <t>Finanziamento 
richiesto</t>
  </si>
  <si>
    <t>Finanziamento 
SIMEST</t>
  </si>
  <si>
    <t>Classe Scoring MCC</t>
  </si>
  <si>
    <t>-</t>
  </si>
  <si>
    <t>Attualizzazione 
Delta interessi</t>
  </si>
  <si>
    <t>Totale</t>
  </si>
  <si>
    <t>Riepilogo dettagli intervento agevolativo</t>
  </si>
  <si>
    <t xml:space="preserve"> % di tasso agevolato di cui si vuole usufruire</t>
  </si>
  <si>
    <t>Importo Fondo perduto</t>
  </si>
  <si>
    <t>Disclaimer: gli importi forniti relativamente al valore del de minimis sono da ritenersi indicativi e verranno verificati in sede di istruttoria</t>
  </si>
  <si>
    <t>Stima del valore degli aiuti di Stato in regime de minimis associati all'Intervento agevolativo</t>
  </si>
  <si>
    <t>Tasso di riferimento al mese di Settembre 2023*</t>
  </si>
  <si>
    <t>*è possibile consultare mensilmente il tasso al seguente link https://www.simest.it/tasso-agevolato-simest/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</si>
</sst>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8" tint="-0.499984740745262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0"/>
      <name val="Arial"/>
      <family val="2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8" tint="-0.499984740745262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8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44" fontId="4" fillId="3" borderId="0" xfId="2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vertical="top"/>
    </xf>
    <xf numFmtId="10" fontId="4" fillId="3" borderId="0" xfId="0" applyNumberFormat="1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right" vertical="top"/>
    </xf>
    <xf numFmtId="9" fontId="4" fillId="3" borderId="0" xfId="0" applyNumberFormat="1" applyFont="1" applyFill="1" applyBorder="1" applyAlignment="1" applyProtection="1">
      <alignment horizontal="center" vertical="top"/>
    </xf>
    <xf numFmtId="9" fontId="4" fillId="3" borderId="24" xfId="0" applyNumberFormat="1" applyFont="1" applyFill="1" applyBorder="1" applyAlignment="1" applyProtection="1">
      <alignment horizontal="center" vertical="center"/>
    </xf>
    <xf numFmtId="44" fontId="4" fillId="3" borderId="14" xfId="2" applyFont="1" applyFill="1" applyBorder="1" applyAlignment="1" applyProtection="1">
      <alignment horizontal="left" vertical="center"/>
    </xf>
    <xf numFmtId="44" fontId="4" fillId="3" borderId="24" xfId="2" applyFont="1" applyFill="1" applyBorder="1" applyAlignment="1" applyProtection="1">
      <alignment horizontal="left" vertical="center"/>
    </xf>
    <xf numFmtId="0" fontId="5" fillId="6" borderId="16" xfId="0" applyFont="1" applyFill="1" applyBorder="1" applyAlignment="1" applyProtection="1">
      <alignment horizontal="left" vertical="center"/>
    </xf>
    <xf numFmtId="44" fontId="15" fillId="3" borderId="0" xfId="2" applyFont="1" applyFill="1" applyBorder="1" applyAlignment="1" applyProtection="1">
      <alignment vertical="top"/>
    </xf>
    <xf numFmtId="165" fontId="18" fillId="3" borderId="23" xfId="0" applyNumberFormat="1" applyFont="1" applyFill="1" applyBorder="1" applyAlignment="1" applyProtection="1">
      <alignment horizontal="center" vertical="center"/>
    </xf>
    <xf numFmtId="165" fontId="18" fillId="3" borderId="18" xfId="2" applyNumberFormat="1" applyFont="1" applyFill="1" applyBorder="1" applyAlignment="1" applyProtection="1">
      <alignment horizontal="center" vertical="center"/>
    </xf>
    <xf numFmtId="165" fontId="18" fillId="3" borderId="23" xfId="2" applyNumberFormat="1" applyFont="1" applyFill="1" applyBorder="1" applyAlignment="1" applyProtection="1">
      <alignment horizontal="center" vertical="center"/>
    </xf>
    <xf numFmtId="165" fontId="18" fillId="3" borderId="8" xfId="2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0" fontId="9" fillId="3" borderId="0" xfId="0" applyFont="1" applyFill="1" applyBorder="1" applyAlignment="1" applyProtection="1">
      <alignment horizontal="left" vertical="center"/>
    </xf>
    <xf numFmtId="0" fontId="0" fillId="3" borderId="20" xfId="0" applyFill="1" applyBorder="1" applyAlignment="1" applyProtection="1">
      <alignment vertical="top"/>
    </xf>
    <xf numFmtId="0" fontId="10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top"/>
    </xf>
    <xf numFmtId="0" fontId="5" fillId="6" borderId="12" xfId="0" applyFont="1" applyFill="1" applyBorder="1" applyAlignment="1" applyProtection="1">
      <alignment vertical="center"/>
    </xf>
    <xf numFmtId="10" fontId="4" fillId="3" borderId="14" xfId="0" applyNumberFormat="1" applyFont="1" applyFill="1" applyBorder="1" applyAlignment="1" applyProtection="1">
      <alignment horizontal="center" vertical="center"/>
    </xf>
    <xf numFmtId="10" fontId="4" fillId="3" borderId="14" xfId="0" applyNumberFormat="1" applyFont="1" applyFill="1" applyBorder="1" applyAlignment="1" applyProtection="1">
      <alignment horizontal="left" vertical="center"/>
    </xf>
    <xf numFmtId="0" fontId="5" fillId="6" borderId="12" xfId="0" applyFont="1" applyFill="1" applyBorder="1" applyAlignment="1" applyProtection="1">
      <alignment vertical="center" wrapText="1"/>
    </xf>
    <xf numFmtId="165" fontId="4" fillId="3" borderId="25" xfId="0" applyNumberFormat="1" applyFont="1" applyFill="1" applyBorder="1" applyAlignment="1" applyProtection="1">
      <alignment horizontal="center" vertical="center"/>
    </xf>
    <xf numFmtId="0" fontId="5" fillId="6" borderId="13" xfId="0" applyFont="1" applyFill="1" applyBorder="1" applyAlignment="1" applyProtection="1">
      <alignment vertical="center" wrapText="1"/>
    </xf>
    <xf numFmtId="165" fontId="4" fillId="3" borderId="14" xfId="0" applyNumberFormat="1" applyFont="1" applyFill="1" applyBorder="1" applyAlignment="1" applyProtection="1">
      <alignment horizontal="center" vertical="center"/>
    </xf>
    <xf numFmtId="165" fontId="4" fillId="3" borderId="0" xfId="0" applyNumberFormat="1" applyFont="1" applyFill="1" applyBorder="1" applyAlignment="1" applyProtection="1">
      <alignment horizontal="center" vertical="top"/>
    </xf>
    <xf numFmtId="0" fontId="5" fillId="6" borderId="12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vertical="top"/>
    </xf>
    <xf numFmtId="0" fontId="5" fillId="6" borderId="15" xfId="0" applyFont="1" applyFill="1" applyBorder="1" applyAlignment="1" applyProtection="1">
      <alignment vertical="center"/>
    </xf>
    <xf numFmtId="10" fontId="4" fillId="3" borderId="24" xfId="0" applyNumberFormat="1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vertical="center"/>
    </xf>
    <xf numFmtId="10" fontId="4" fillId="3" borderId="8" xfId="0" applyNumberFormat="1" applyFont="1" applyFill="1" applyBorder="1" applyAlignment="1" applyProtection="1">
      <alignment vertical="center"/>
    </xf>
    <xf numFmtId="165" fontId="4" fillId="3" borderId="17" xfId="0" applyNumberFormat="1" applyFont="1" applyFill="1" applyBorder="1" applyAlignment="1" applyProtection="1">
      <alignment horizontal="center" vertical="center"/>
    </xf>
    <xf numFmtId="9" fontId="4" fillId="3" borderId="24" xfId="2" applyNumberFormat="1" applyFont="1" applyFill="1" applyBorder="1" applyAlignment="1" applyProtection="1">
      <alignment horizontal="center" vertical="center"/>
    </xf>
    <xf numFmtId="9" fontId="4" fillId="3" borderId="0" xfId="2" applyNumberFormat="1" applyFont="1" applyFill="1" applyBorder="1" applyAlignment="1" applyProtection="1">
      <alignment horizontal="center" vertical="top"/>
    </xf>
    <xf numFmtId="0" fontId="5" fillId="6" borderId="15" xfId="0" applyFont="1" applyFill="1" applyBorder="1" applyAlignment="1" applyProtection="1">
      <alignment horizontal="left" vertical="center"/>
    </xf>
    <xf numFmtId="10" fontId="4" fillId="3" borderId="8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top"/>
    </xf>
    <xf numFmtId="0" fontId="5" fillId="7" borderId="6" xfId="0" applyFont="1" applyFill="1" applyBorder="1" applyAlignment="1" applyProtection="1">
      <alignment horizontal="left" vertical="center"/>
    </xf>
    <xf numFmtId="2" fontId="4" fillId="7" borderId="8" xfId="0" applyNumberFormat="1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vertical="center"/>
    </xf>
    <xf numFmtId="0" fontId="4" fillId="3" borderId="22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top"/>
    </xf>
    <xf numFmtId="0" fontId="0" fillId="3" borderId="0" xfId="0" applyFill="1" applyAlignment="1" applyProtection="1">
      <alignment horizontal="right" vertical="top"/>
    </xf>
    <xf numFmtId="0" fontId="2" fillId="3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vertical="top"/>
    </xf>
    <xf numFmtId="0" fontId="0" fillId="3" borderId="0" xfId="0" applyFont="1" applyFill="1" applyAlignment="1" applyProtection="1">
      <alignment horizontal="right" vertical="top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top" wrapText="1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18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center" vertical="top"/>
    </xf>
    <xf numFmtId="44" fontId="4" fillId="3" borderId="0" xfId="2" applyNumberFormat="1" applyFont="1" applyFill="1" applyBorder="1" applyAlignment="1" applyProtection="1">
      <alignment horizontal="center" vertical="top"/>
    </xf>
    <xf numFmtId="44" fontId="4" fillId="3" borderId="5" xfId="2" applyNumberFormat="1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vertical="top"/>
    </xf>
    <xf numFmtId="0" fontId="12" fillId="3" borderId="0" xfId="0" applyFont="1" applyFill="1" applyBorder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2" fillId="3" borderId="0" xfId="0" applyFont="1" applyFill="1" applyAlignment="1" applyProtection="1">
      <alignment vertical="top"/>
    </xf>
    <xf numFmtId="0" fontId="2" fillId="3" borderId="0" xfId="0" applyFont="1" applyFill="1" applyAlignment="1" applyProtection="1">
      <alignment vertical="top"/>
    </xf>
    <xf numFmtId="44" fontId="5" fillId="6" borderId="28" xfId="0" applyNumberFormat="1" applyFont="1" applyFill="1" applyBorder="1" applyAlignment="1" applyProtection="1">
      <alignment vertical="center"/>
    </xf>
    <xf numFmtId="44" fontId="5" fillId="6" borderId="28" xfId="2" applyFont="1" applyFill="1" applyBorder="1" applyAlignment="1" applyProtection="1">
      <alignment vertical="center"/>
    </xf>
    <xf numFmtId="0" fontId="2" fillId="6" borderId="28" xfId="0" applyFont="1" applyFill="1" applyBorder="1" applyAlignment="1" applyProtection="1">
      <alignment vertical="center"/>
    </xf>
    <xf numFmtId="44" fontId="5" fillId="6" borderId="21" xfId="2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top"/>
    </xf>
    <xf numFmtId="44" fontId="5" fillId="3" borderId="0" xfId="2" applyFont="1" applyFill="1" applyBorder="1" applyAlignment="1" applyProtection="1">
      <alignment vertical="top"/>
    </xf>
    <xf numFmtId="43" fontId="2" fillId="3" borderId="0" xfId="1" applyFont="1" applyFill="1" applyBorder="1" applyAlignment="1" applyProtection="1">
      <alignment vertical="top"/>
    </xf>
    <xf numFmtId="8" fontId="2" fillId="3" borderId="0" xfId="0" applyNumberFormat="1" applyFont="1" applyFill="1" applyBorder="1" applyAlignment="1" applyProtection="1">
      <alignment vertical="top"/>
    </xf>
    <xf numFmtId="164" fontId="2" fillId="3" borderId="0" xfId="0" applyNumberFormat="1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center"/>
    </xf>
    <xf numFmtId="9" fontId="4" fillId="3" borderId="0" xfId="0" applyNumberFormat="1" applyFont="1" applyFill="1" applyBorder="1" applyAlignment="1" applyProtection="1">
      <alignment vertical="top"/>
    </xf>
    <xf numFmtId="2" fontId="4" fillId="3" borderId="0" xfId="0" applyNumberFormat="1" applyFont="1" applyFill="1" applyBorder="1" applyAlignment="1" applyProtection="1">
      <alignment horizontal="center" vertical="top"/>
    </xf>
    <xf numFmtId="0" fontId="0" fillId="3" borderId="0" xfId="0" applyFont="1" applyFill="1" applyBorder="1" applyAlignment="1" applyProtection="1">
      <alignment vertical="top"/>
    </xf>
    <xf numFmtId="0" fontId="0" fillId="3" borderId="0" xfId="0" applyFont="1" applyFill="1" applyBorder="1" applyAlignment="1" applyProtection="1">
      <alignment horizontal="right" vertical="top"/>
    </xf>
    <xf numFmtId="0" fontId="0" fillId="3" borderId="0" xfId="0" applyFill="1" applyBorder="1" applyAlignment="1" applyProtection="1">
      <alignment horizontal="right" vertical="top"/>
    </xf>
    <xf numFmtId="0" fontId="5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Alignment="1" applyProtection="1">
      <alignment vertical="top"/>
    </xf>
    <xf numFmtId="0" fontId="16" fillId="3" borderId="0" xfId="0" applyFont="1" applyFill="1" applyBorder="1" applyAlignment="1" applyProtection="1">
      <alignment vertical="top"/>
    </xf>
    <xf numFmtId="0" fontId="15" fillId="3" borderId="0" xfId="0" applyFont="1" applyFill="1" applyBorder="1" applyAlignment="1" applyProtection="1">
      <alignment vertical="top"/>
    </xf>
    <xf numFmtId="0" fontId="16" fillId="3" borderId="0" xfId="0" applyFont="1" applyFill="1" applyAlignment="1" applyProtection="1">
      <alignment vertical="top"/>
    </xf>
    <xf numFmtId="0" fontId="15" fillId="3" borderId="0" xfId="0" applyFont="1" applyFill="1" applyAlignment="1" applyProtection="1">
      <alignment vertical="top"/>
    </xf>
    <xf numFmtId="0" fontId="14" fillId="3" borderId="0" xfId="0" applyFont="1" applyFill="1" applyBorder="1" applyAlignment="1" applyProtection="1">
      <alignment vertical="top"/>
    </xf>
    <xf numFmtId="0" fontId="7" fillId="3" borderId="0" xfId="0" applyFont="1" applyFill="1" applyBorder="1" applyAlignment="1" applyProtection="1">
      <alignment vertical="top" wrapText="1"/>
    </xf>
    <xf numFmtId="0" fontId="17" fillId="3" borderId="0" xfId="0" applyFont="1" applyFill="1" applyBorder="1" applyAlignment="1" applyProtection="1">
      <alignment vertical="top" wrapText="1"/>
    </xf>
    <xf numFmtId="165" fontId="4" fillId="3" borderId="0" xfId="2" applyNumberFormat="1" applyFont="1" applyFill="1" applyBorder="1" applyAlignment="1" applyProtection="1">
      <alignment horizontal="center" vertical="top"/>
    </xf>
    <xf numFmtId="0" fontId="8" fillId="3" borderId="0" xfId="0" applyFont="1" applyFill="1" applyBorder="1" applyAlignment="1" applyProtection="1">
      <alignment vertical="top"/>
    </xf>
    <xf numFmtId="0" fontId="17" fillId="3" borderId="0" xfId="0" applyFont="1" applyFill="1" applyAlignment="1" applyProtection="1">
      <alignment vertical="top"/>
    </xf>
    <xf numFmtId="0" fontId="17" fillId="3" borderId="0" xfId="0" applyFont="1" applyFill="1" applyBorder="1" applyAlignment="1" applyProtection="1">
      <alignment vertical="top"/>
    </xf>
    <xf numFmtId="0" fontId="0" fillId="0" borderId="0" xfId="0" applyProtection="1"/>
    <xf numFmtId="2" fontId="0" fillId="0" borderId="0" xfId="0" applyNumberFormat="1" applyProtection="1"/>
    <xf numFmtId="0" fontId="0" fillId="2" borderId="0" xfId="0" applyFill="1" applyProtection="1"/>
    <xf numFmtId="2" fontId="0" fillId="0" borderId="0" xfId="0" applyNumberFormat="1" applyAlignment="1" applyProtection="1">
      <alignment horizontal="right"/>
    </xf>
    <xf numFmtId="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65" fontId="18" fillId="3" borderId="18" xfId="2" applyNumberFormat="1" applyFont="1" applyFill="1" applyBorder="1" applyAlignment="1" applyProtection="1">
      <alignment horizontal="center" vertical="center"/>
      <protection locked="0"/>
    </xf>
    <xf numFmtId="0" fontId="18" fillId="3" borderId="23" xfId="0" applyFont="1" applyFill="1" applyBorder="1" applyAlignment="1" applyProtection="1">
      <alignment horizontal="center" vertical="center"/>
      <protection locked="0"/>
    </xf>
    <xf numFmtId="9" fontId="18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20" fillId="4" borderId="19" xfId="0" applyFont="1" applyFill="1" applyBorder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20" fillId="4" borderId="23" xfId="0" applyFont="1" applyFill="1" applyBorder="1" applyAlignment="1" applyProtection="1">
      <alignment vertical="center"/>
      <protection locked="0"/>
    </xf>
    <xf numFmtId="165" fontId="0" fillId="3" borderId="0" xfId="0" applyNumberFormat="1" applyFill="1" applyProtection="1">
      <protection locked="0"/>
    </xf>
    <xf numFmtId="0" fontId="20" fillId="4" borderId="20" xfId="0" applyFont="1" applyFill="1" applyBorder="1" applyAlignment="1" applyProtection="1">
      <alignment vertical="center"/>
      <protection locked="0"/>
    </xf>
    <xf numFmtId="0" fontId="20" fillId="4" borderId="26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Protection="1">
      <protection locked="0"/>
    </xf>
    <xf numFmtId="0" fontId="22" fillId="3" borderId="0" xfId="0" applyFont="1" applyFill="1" applyAlignment="1" applyProtection="1">
      <alignment vertical="top"/>
      <protection locked="0"/>
    </xf>
    <xf numFmtId="0" fontId="19" fillId="3" borderId="9" xfId="0" applyFont="1" applyFill="1" applyBorder="1" applyAlignment="1" applyProtection="1">
      <alignment horizontal="left" vertical="center"/>
      <protection locked="0"/>
    </xf>
    <xf numFmtId="0" fontId="19" fillId="3" borderId="11" xfId="0" applyFont="1" applyFill="1" applyBorder="1" applyAlignment="1" applyProtection="1">
      <alignment horizontal="left" vertical="center"/>
      <protection locked="0"/>
    </xf>
    <xf numFmtId="0" fontId="23" fillId="3" borderId="9" xfId="0" applyFont="1" applyFill="1" applyBorder="1" applyAlignment="1" applyProtection="1">
      <alignment horizontal="left" vertical="center"/>
      <protection locked="0"/>
    </xf>
    <xf numFmtId="0" fontId="23" fillId="3" borderId="11" xfId="0" applyFont="1" applyFill="1" applyBorder="1" applyAlignment="1" applyProtection="1">
      <alignment horizontal="left" vertical="center"/>
      <protection locked="0"/>
    </xf>
    <xf numFmtId="0" fontId="13" fillId="5" borderId="9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right" vertical="center"/>
    </xf>
    <xf numFmtId="0" fontId="5" fillId="6" borderId="28" xfId="0" applyFont="1" applyFill="1" applyBorder="1" applyAlignment="1" applyProtection="1">
      <alignment horizontal="right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10" fontId="18" fillId="3" borderId="23" xfId="0" applyNumberFormat="1" applyFont="1" applyFill="1" applyBorder="1" applyAlignment="1" applyProtection="1">
      <alignment horizontal="center" vertical="center"/>
      <protection locked="0"/>
    </xf>
  </cellXfs>
  <cellStyles count="3">
    <cellStyle name="Migliaia" xfId="1" builtinId="3"/>
    <cellStyle name="Normale" xfId="0" builtinId="0"/>
    <cellStyle name="Valuta" xfId="2" builtinId="4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0</xdr:row>
      <xdr:rowOff>76200</xdr:rowOff>
    </xdr:from>
    <xdr:to>
      <xdr:col>1</xdr:col>
      <xdr:colOff>1036705</xdr:colOff>
      <xdr:row>3</xdr:row>
      <xdr:rowOff>1275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E66D538-3D2A-4DC4-AD4A-0A3FD4B65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1" y="76200"/>
          <a:ext cx="1014479" cy="4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103413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DC2A4FD-14A9-40A0-8AC1-F7F477F74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79" y="81381"/>
          <a:ext cx="1186155" cy="5452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106588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265595E-EE60-4640-A5F5-E3E79E374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091" y="84556"/>
          <a:ext cx="1190667" cy="561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106588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3E584AA-E658-4DAD-9A6C-C9E499EE0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091" y="84556"/>
          <a:ext cx="1190667" cy="564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E5D7-4BF8-4854-91FF-CDDAF126A044}">
  <sheetPr>
    <tabColor theme="9" tint="0.39997558519241921"/>
  </sheetPr>
  <dimension ref="A4:E21"/>
  <sheetViews>
    <sheetView tabSelected="1" topLeftCell="A4" zoomScaleNormal="100" workbookViewId="0">
      <selection activeCell="C16" sqref="C16:C18"/>
    </sheetView>
  </sheetViews>
  <sheetFormatPr defaultColWidth="8.7109375" defaultRowHeight="15" x14ac:dyDescent="0.25"/>
  <cols>
    <col min="1" max="1" width="2.42578125" style="107" customWidth="1"/>
    <col min="2" max="2" width="61.140625" style="107" bestFit="1" customWidth="1"/>
    <col min="3" max="3" width="21.85546875" style="107" bestFit="1" customWidth="1"/>
    <col min="4" max="4" width="8.7109375" style="107"/>
    <col min="5" max="5" width="10.28515625" style="107" bestFit="1" customWidth="1"/>
    <col min="6" max="16384" width="8.7109375" style="107"/>
  </cols>
  <sheetData>
    <row r="4" spans="1:5" ht="8.1" customHeight="1" thickBot="1" x14ac:dyDescent="0.3"/>
    <row r="5" spans="1:5" ht="20.100000000000001" customHeight="1" thickBot="1" x14ac:dyDescent="0.3">
      <c r="B5" s="120" t="s">
        <v>68</v>
      </c>
      <c r="C5" s="121"/>
    </row>
    <row r="6" spans="1:5" ht="3.6" customHeight="1" thickBot="1" x14ac:dyDescent="0.3">
      <c r="A6" s="108"/>
      <c r="B6" s="109"/>
      <c r="C6" s="110"/>
    </row>
    <row r="7" spans="1:5" ht="18" customHeight="1" x14ac:dyDescent="0.25">
      <c r="B7" s="111" t="s">
        <v>29</v>
      </c>
      <c r="C7" s="104">
        <v>1000000</v>
      </c>
      <c r="D7" s="112"/>
    </row>
    <row r="8" spans="1:5" ht="18" customHeight="1" x14ac:dyDescent="0.25">
      <c r="B8" s="113" t="s">
        <v>15</v>
      </c>
      <c r="C8" s="105" t="s">
        <v>16</v>
      </c>
      <c r="D8" s="112"/>
    </row>
    <row r="9" spans="1:5" ht="18" customHeight="1" x14ac:dyDescent="0.25">
      <c r="B9" s="113" t="s">
        <v>70</v>
      </c>
      <c r="C9" s="11">
        <f>IF(C8="Sì",MIN(C7*0.1,100000),0)</f>
        <v>100000</v>
      </c>
      <c r="E9" s="114"/>
    </row>
    <row r="10" spans="1:5" ht="18" customHeight="1" x14ac:dyDescent="0.25">
      <c r="B10" s="113" t="s">
        <v>38</v>
      </c>
      <c r="C10" s="105" t="s">
        <v>20</v>
      </c>
      <c r="D10" s="112"/>
    </row>
    <row r="11" spans="1:5" ht="18" customHeight="1" x14ac:dyDescent="0.25">
      <c r="B11" s="115" t="s">
        <v>73</v>
      </c>
      <c r="C11" s="132">
        <v>4.6399999999999997E-2</v>
      </c>
      <c r="D11" s="112"/>
    </row>
    <row r="12" spans="1:5" ht="18" customHeight="1" thickBot="1" x14ac:dyDescent="0.3">
      <c r="B12" s="116" t="s">
        <v>69</v>
      </c>
      <c r="C12" s="106">
        <v>0.1</v>
      </c>
      <c r="D12" s="112"/>
    </row>
    <row r="13" spans="1:5" ht="9.6" customHeight="1" thickBot="1" x14ac:dyDescent="0.3">
      <c r="B13" s="117"/>
      <c r="C13" s="118"/>
    </row>
    <row r="14" spans="1:5" ht="19.5" customHeight="1" thickBot="1" x14ac:dyDescent="0.3">
      <c r="B14" s="122" t="s">
        <v>72</v>
      </c>
      <c r="C14" s="123"/>
    </row>
    <row r="15" spans="1:5" ht="3.6" customHeight="1" thickBot="1" x14ac:dyDescent="0.3">
      <c r="A15" s="108"/>
      <c r="B15" s="109"/>
      <c r="C15" s="110"/>
    </row>
    <row r="16" spans="1:5" ht="18" customHeight="1" x14ac:dyDescent="0.25">
      <c r="B16" s="111" t="s">
        <v>39</v>
      </c>
      <c r="C16" s="12">
        <f>+'Piano amm_Scoring migliori'!J10+'Piano amm_Scoring migliori'!J11</f>
        <v>207569.47814100946</v>
      </c>
    </row>
    <row r="17" spans="2:3" ht="18" customHeight="1" x14ac:dyDescent="0.25">
      <c r="B17" s="113" t="s">
        <v>40</v>
      </c>
      <c r="C17" s="13">
        <f>+'Piano amm_Scoring intermedi'!J10+'Piano amm_Scoring intermedi'!J11</f>
        <v>239069.85190668306</v>
      </c>
    </row>
    <row r="18" spans="2:3" ht="18" customHeight="1" thickBot="1" x14ac:dyDescent="0.3">
      <c r="B18" s="116" t="s">
        <v>41</v>
      </c>
      <c r="C18" s="14">
        <f>+'Piano amm_Scoring ultimi'!J10+'Piano amm_Scoring ultimi'!J11</f>
        <v>286803.311413649</v>
      </c>
    </row>
    <row r="19" spans="2:3" ht="4.5" customHeight="1" x14ac:dyDescent="0.25">
      <c r="B19" s="108"/>
      <c r="C19" s="108"/>
    </row>
    <row r="20" spans="2:3" ht="11.45" customHeight="1" x14ac:dyDescent="0.25">
      <c r="B20" s="119" t="s">
        <v>71</v>
      </c>
    </row>
    <row r="21" spans="2:3" x14ac:dyDescent="0.25">
      <c r="B21" s="119" t="s">
        <v>74</v>
      </c>
    </row>
  </sheetData>
  <sheetProtection algorithmName="SHA-512" hashValue="AGQOseDnvz1xIcT0QTx5nUe8RdkXf7ar8F67k5E09TvpQVjxdD6RwXtUmTckm5UHn4tXzsfCo8hnS06ewmomvw==" saltValue="RhoOgs2W8cIskW//K9ziGQ==" spinCount="100000" sheet="1" objects="1" scenarios="1"/>
  <mergeCells count="2">
    <mergeCell ref="B5:C5"/>
    <mergeCell ref="B14:C14"/>
  </mergeCells>
  <conditionalFormatting sqref="B5">
    <cfRule type="containsText" dxfId="15" priority="4" operator="containsText" text="KO">
      <formula>NOT(ISERROR(SEARCH("KO",B5)))</formula>
    </cfRule>
  </conditionalFormatting>
  <conditionalFormatting sqref="B14">
    <cfRule type="containsText" dxfId="14" priority="3" operator="containsText" text="KO">
      <formula>NOT(ISERROR(SEARCH("KO",B14)))</formula>
    </cfRule>
  </conditionalFormatting>
  <conditionalFormatting sqref="B15">
    <cfRule type="containsText" dxfId="13" priority="2" operator="containsText" text="KO">
      <formula>NOT(ISERROR(SEARCH("KO",B15)))</formula>
    </cfRule>
  </conditionalFormatting>
  <conditionalFormatting sqref="B6">
    <cfRule type="containsText" dxfId="12" priority="1" operator="containsText" text="KO">
      <formula>NOT(ISERROR(SEARCH("KO",B6)))</formula>
    </cfRule>
  </conditionalFormatting>
  <dataValidations count="2">
    <dataValidation type="list" allowBlank="1" showInputMessage="1" showErrorMessage="1" sqref="C8" xr:uid="{7CB87940-603A-4138-8E86-3941FCB16F9B}">
      <formula1>ListaCat</formula1>
    </dataValidation>
    <dataValidation type="list" allowBlank="1" showInputMessage="1" showErrorMessage="1" sqref="C12" xr:uid="{B010FEAF-6BD0-4FF0-9386-E19708A02A4F}">
      <formula1>"10%, 50%, 80%"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D2383B-F196-4F00-BC09-0C480A62FC12}">
          <x14:formula1>
            <xm:f>Input!$M$2:$M$7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U90"/>
  <sheetViews>
    <sheetView zoomScale="55" zoomScaleNormal="55" workbookViewId="0">
      <selection activeCell="B15" sqref="B15:P15"/>
    </sheetView>
  </sheetViews>
  <sheetFormatPr defaultColWidth="8.7109375" defaultRowHeight="15" x14ac:dyDescent="0.25"/>
  <cols>
    <col min="1" max="1" width="1.42578125" style="16" customWidth="1"/>
    <col min="2" max="2" width="15.140625" style="16" customWidth="1"/>
    <col min="3" max="3" width="21.7109375" style="16" customWidth="1"/>
    <col min="4" max="4" width="9.28515625" style="16" customWidth="1"/>
    <col min="5" max="5" width="16.140625" style="16" customWidth="1"/>
    <col min="6" max="7" width="16.42578125" style="16" customWidth="1"/>
    <col min="8" max="8" width="16.140625" style="16" customWidth="1"/>
    <col min="9" max="9" width="20.5703125" style="16" customWidth="1"/>
    <col min="10" max="10" width="17.140625" style="16" customWidth="1"/>
    <col min="11" max="11" width="18.7109375" style="16" customWidth="1"/>
    <col min="12" max="13" width="16.140625" style="16" customWidth="1"/>
    <col min="14" max="14" width="21.85546875" style="16" customWidth="1"/>
    <col min="15" max="15" width="16.140625" style="16" customWidth="1"/>
    <col min="16" max="16" width="15.85546875" style="16" customWidth="1"/>
    <col min="17" max="17" width="21.5703125" style="16" bestFit="1" customWidth="1"/>
    <col min="18" max="18" width="18.140625" style="16" bestFit="1" customWidth="1"/>
    <col min="19" max="16384" width="8.7109375" style="16"/>
  </cols>
  <sheetData>
    <row r="1" spans="1:21" s="15" customFormat="1" x14ac:dyDescent="0.25"/>
    <row r="2" spans="1:21" s="15" customFormat="1" x14ac:dyDescent="0.25"/>
    <row r="3" spans="1:21" s="15" customFormat="1" x14ac:dyDescent="0.25"/>
    <row r="4" spans="1:21" s="15" customFormat="1" x14ac:dyDescent="0.25"/>
    <row r="5" spans="1:21" s="15" customFormat="1" ht="9.9499999999999993" customHeight="1" thickBot="1" x14ac:dyDescent="0.3"/>
    <row r="6" spans="1:21" s="15" customFormat="1" ht="27.6" customHeight="1" thickBot="1" x14ac:dyDescent="0.3">
      <c r="B6" s="124" t="s">
        <v>30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6"/>
    </row>
    <row r="7" spans="1:21" s="15" customFormat="1" ht="8.1" customHeight="1" thickBot="1" x14ac:dyDescent="0.3">
      <c r="A7" s="16"/>
      <c r="B7" s="17"/>
      <c r="C7" s="17"/>
      <c r="D7" s="16"/>
      <c r="E7" s="17"/>
      <c r="F7" s="17"/>
      <c r="G7" s="16"/>
      <c r="H7" s="17"/>
      <c r="I7" s="17"/>
      <c r="J7" s="17"/>
      <c r="K7" s="17"/>
      <c r="L7" s="17"/>
      <c r="M7" s="17"/>
      <c r="N7" s="17"/>
      <c r="O7" s="17"/>
      <c r="P7" s="17"/>
    </row>
    <row r="8" spans="1:21" ht="16.5" thickBot="1" x14ac:dyDescent="0.3">
      <c r="C8" s="129" t="s">
        <v>42</v>
      </c>
      <c r="D8" s="130"/>
      <c r="E8" s="18"/>
      <c r="F8" s="129" t="s">
        <v>14</v>
      </c>
      <c r="G8" s="130"/>
      <c r="I8" s="129" t="s">
        <v>48</v>
      </c>
      <c r="J8" s="131"/>
      <c r="K8" s="131"/>
      <c r="L8" s="130"/>
      <c r="M8" s="19"/>
      <c r="N8" s="129" t="s">
        <v>55</v>
      </c>
      <c r="O8" s="130"/>
      <c r="P8" s="20"/>
      <c r="Q8" s="1"/>
      <c r="R8" s="20"/>
      <c r="S8" s="1"/>
      <c r="T8" s="20"/>
      <c r="U8" s="2"/>
    </row>
    <row r="9" spans="1:21" ht="27.6" customHeight="1" x14ac:dyDescent="0.25">
      <c r="C9" s="21" t="s">
        <v>45</v>
      </c>
      <c r="D9" s="22">
        <f>Sintesi!C11</f>
        <v>4.6399999999999997E-2</v>
      </c>
      <c r="F9" s="21" t="s">
        <v>46</v>
      </c>
      <c r="G9" s="23" t="str">
        <f>+Sintesi!C10</f>
        <v>Inserimento mercati esteri</v>
      </c>
      <c r="I9" s="24" t="s">
        <v>63</v>
      </c>
      <c r="J9" s="25">
        <f>+L9-J11</f>
        <v>900000</v>
      </c>
      <c r="K9" s="26" t="s">
        <v>62</v>
      </c>
      <c r="L9" s="27">
        <f>+Sintesi!C7</f>
        <v>1000000</v>
      </c>
      <c r="M9" s="28"/>
      <c r="N9" s="29" t="s">
        <v>52</v>
      </c>
      <c r="O9" s="7">
        <v>200000</v>
      </c>
      <c r="P9" s="20"/>
      <c r="Q9" s="2"/>
      <c r="R9" s="30"/>
      <c r="S9" s="31"/>
    </row>
    <row r="10" spans="1:21" ht="22.5" customHeight="1" thickBot="1" x14ac:dyDescent="0.3">
      <c r="C10" s="32" t="s">
        <v>43</v>
      </c>
      <c r="D10" s="33">
        <f>+D9*L10</f>
        <v>4.64E-3</v>
      </c>
      <c r="F10" s="34" t="s">
        <v>47</v>
      </c>
      <c r="G10" s="35" t="str">
        <f>VLOOKUP(Sintesi!C10,Input!M2:N7,2,FALSE)</f>
        <v>IM</v>
      </c>
      <c r="I10" s="32" t="s">
        <v>49</v>
      </c>
      <c r="J10" s="36">
        <f>IF(G10="IM",SUM(N18:N29)-SUM(N20:N21),SUM(N18:N29))/((1+D9)^0.5)</f>
        <v>107569.47814100947</v>
      </c>
      <c r="K10" s="9" t="s">
        <v>50</v>
      </c>
      <c r="L10" s="37">
        <f>+Sintesi!C12</f>
        <v>0.1</v>
      </c>
      <c r="M10" s="38"/>
      <c r="N10" s="39" t="s">
        <v>56</v>
      </c>
      <c r="O10" s="8">
        <f>+O9-J10-J11</f>
        <v>-7569.4781410094729</v>
      </c>
      <c r="P10" s="30"/>
      <c r="Q10" s="31"/>
      <c r="R10" s="30"/>
      <c r="S10" s="31"/>
      <c r="T10" s="30"/>
      <c r="U10" s="31"/>
    </row>
    <row r="11" spans="1:21" ht="27" customHeight="1" thickBot="1" x14ac:dyDescent="0.3">
      <c r="C11" s="34" t="s">
        <v>44</v>
      </c>
      <c r="D11" s="40">
        <f>D9+VLOOKUP(S20,Input!A1:B5,2,0)/100</f>
        <v>4.6399999999999997E-2</v>
      </c>
      <c r="F11" s="41"/>
      <c r="G11" s="42"/>
      <c r="H11" s="43"/>
      <c r="I11" s="32" t="s">
        <v>8</v>
      </c>
      <c r="J11" s="36">
        <f>IF(J12="No",0,MIN(L9*L11,100000))</f>
        <v>100000</v>
      </c>
      <c r="K11" s="9" t="s">
        <v>51</v>
      </c>
      <c r="L11" s="6">
        <v>0.1</v>
      </c>
      <c r="M11" s="5"/>
      <c r="N11" s="44" t="s">
        <v>64</v>
      </c>
      <c r="O11" s="45" t="str">
        <f>+Input!E2</f>
        <v>1; 2</v>
      </c>
      <c r="P11" s="30"/>
      <c r="Q11" s="31"/>
      <c r="R11" s="30"/>
      <c r="S11" s="31"/>
    </row>
    <row r="12" spans="1:21" s="15" customFormat="1" ht="20.45" customHeight="1" thickBot="1" x14ac:dyDescent="0.3">
      <c r="B12" s="16"/>
      <c r="C12" s="16"/>
      <c r="G12" s="16"/>
      <c r="I12" s="46" t="s">
        <v>18</v>
      </c>
      <c r="J12" s="47" t="str">
        <f>VLOOKUP(Sintesi!C8,Input!J2:K3,2,FALSE)</f>
        <v>Sì</v>
      </c>
      <c r="K12" s="48" t="s">
        <v>65</v>
      </c>
      <c r="L12" s="49" t="s">
        <v>65</v>
      </c>
      <c r="M12" s="50"/>
      <c r="N12" s="16"/>
      <c r="O12" s="51"/>
    </row>
    <row r="13" spans="1:21" s="15" customFormat="1" ht="8.4499999999999993" customHeight="1" x14ac:dyDescent="0.25">
      <c r="B13" s="16"/>
      <c r="C13" s="16"/>
      <c r="H13" s="52"/>
      <c r="I13" s="53"/>
      <c r="J13" s="54"/>
      <c r="K13" s="54"/>
      <c r="L13" s="54"/>
      <c r="N13" s="51"/>
    </row>
    <row r="14" spans="1:21" s="15" customFormat="1" ht="15.75" thickBot="1" x14ac:dyDescent="0.3">
      <c r="B14" s="16"/>
      <c r="C14" s="16"/>
      <c r="H14" s="52"/>
      <c r="I14" s="53"/>
      <c r="J14" s="54"/>
      <c r="K14" s="54"/>
      <c r="L14" s="54"/>
      <c r="N14" s="51"/>
    </row>
    <row r="15" spans="1:21" s="15" customFormat="1" ht="27.6" customHeight="1" thickBot="1" x14ac:dyDescent="0.3">
      <c r="B15" s="124" t="s">
        <v>53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1:21" s="15" customFormat="1" ht="9.6" customHeight="1" thickBot="1" x14ac:dyDescent="0.3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  <c r="P16" s="55"/>
    </row>
    <row r="17" spans="2:19" s="57" customFormat="1" ht="40.5" customHeight="1" x14ac:dyDescent="0.25">
      <c r="C17" s="58" t="s">
        <v>37</v>
      </c>
      <c r="D17" s="58" t="s">
        <v>5</v>
      </c>
      <c r="E17" s="58" t="s">
        <v>54</v>
      </c>
      <c r="F17" s="58" t="s">
        <v>36</v>
      </c>
      <c r="G17" s="58" t="s">
        <v>4</v>
      </c>
      <c r="H17" s="59" t="s">
        <v>57</v>
      </c>
      <c r="I17" s="59" t="s">
        <v>58</v>
      </c>
      <c r="J17" s="59" t="s">
        <v>59</v>
      </c>
      <c r="K17" s="59" t="s">
        <v>60</v>
      </c>
      <c r="L17" s="59" t="s">
        <v>61</v>
      </c>
      <c r="M17" s="58" t="s">
        <v>6</v>
      </c>
      <c r="N17" s="60" t="s">
        <v>66</v>
      </c>
    </row>
    <row r="18" spans="2:19" x14ac:dyDescent="0.25">
      <c r="C18" s="61">
        <v>1</v>
      </c>
      <c r="D18" s="62">
        <f t="shared" ref="D18:D29" si="0">IF(E18="Preamm",0,D17+1)</f>
        <v>0</v>
      </c>
      <c r="E18" s="62" t="str">
        <f>IF(C18&lt;=$Q$19,(IF(C18&lt;=$Q$20,"Preamm","Amm")),"-")</f>
        <v>Preamm</v>
      </c>
      <c r="F18" s="63">
        <f t="shared" ref="F18:F25" si="1">-IF(E18="","",IF(E18="Preamm",0,(PMT($D$9,$Q$18,$J$9,0,0))))</f>
        <v>0</v>
      </c>
      <c r="G18" s="63">
        <f t="shared" ref="G18:G29" si="2">IF(F18=0,0,$J$9/$Q$18)</f>
        <v>0</v>
      </c>
      <c r="H18" s="63">
        <f t="shared" ref="H18:H29" si="3">IF(E18="","",IF(D18=0,($J$9*($D$10/2)),-IPMT($D$10/2,D18,$Q$18,$J$9,0,0)))</f>
        <v>2088</v>
      </c>
      <c r="I18" s="63">
        <f t="shared" ref="I18:I29" si="4">IF(E18="","",IF(D18=0,($J$9*($D$9/2)),-IPMT($D$9/2,D18,$Q$18,$J$9,0,0)))</f>
        <v>20880</v>
      </c>
      <c r="J18" s="63">
        <f t="shared" ref="J18:J29" si="5">IF(E18="","",IF(D18=0,($J$9*($D$11/2)),-IPMT($D$11/2,D18,$Q$18,$J$9,0,0)))</f>
        <v>20880</v>
      </c>
      <c r="K18" s="63">
        <f>IF(G18=0,0,G18)</f>
        <v>0</v>
      </c>
      <c r="L18" s="63">
        <f>$J$9-K18</f>
        <v>900000</v>
      </c>
      <c r="M18" s="63">
        <f>IF(H18="","",J18-H18)</f>
        <v>18792</v>
      </c>
      <c r="N18" s="64">
        <f t="shared" ref="N18:N29" si="6">IF(M18="","",M18/((1+$D$9)^(C18/2)))</f>
        <v>18370.633725765656</v>
      </c>
      <c r="P18" s="65" t="s">
        <v>1</v>
      </c>
      <c r="Q18" s="66">
        <f>+Q19-Q20</f>
        <v>8</v>
      </c>
      <c r="R18" s="67"/>
      <c r="S18" s="68"/>
    </row>
    <row r="19" spans="2:19" x14ac:dyDescent="0.25">
      <c r="C19" s="61">
        <v>2</v>
      </c>
      <c r="D19" s="62">
        <f t="shared" si="0"/>
        <v>0</v>
      </c>
      <c r="E19" s="62" t="str">
        <f t="shared" ref="E19:E29" si="7">IF(C19&lt;=$Q$19,(IF(C19&lt;=$Q$20,"Preamm","Amm")),"")</f>
        <v>Preamm</v>
      </c>
      <c r="F19" s="63">
        <f t="shared" si="1"/>
        <v>0</v>
      </c>
      <c r="G19" s="63">
        <f t="shared" si="2"/>
        <v>0</v>
      </c>
      <c r="H19" s="63">
        <f t="shared" si="3"/>
        <v>2088</v>
      </c>
      <c r="I19" s="63">
        <f t="shared" si="4"/>
        <v>20880</v>
      </c>
      <c r="J19" s="63">
        <f t="shared" si="5"/>
        <v>20880</v>
      </c>
      <c r="K19" s="63">
        <f t="shared" ref="K19:K29" si="8">+K18+G19</f>
        <v>0</v>
      </c>
      <c r="L19" s="63">
        <f t="shared" ref="L19:L29" si="9">$J$9-K19</f>
        <v>900000</v>
      </c>
      <c r="M19" s="63">
        <f t="shared" ref="M19:M29" si="10">IF(H19="","",J19-H19)</f>
        <v>18792</v>
      </c>
      <c r="N19" s="64">
        <f t="shared" si="6"/>
        <v>17958.715596330276</v>
      </c>
      <c r="P19" s="67" t="s">
        <v>9</v>
      </c>
      <c r="Q19" s="68">
        <f>VLOOKUP(G9,Input!$M$2:$O$7,3,0)</f>
        <v>12</v>
      </c>
      <c r="R19" s="67" t="s">
        <v>2</v>
      </c>
      <c r="S19" s="68">
        <v>360</v>
      </c>
    </row>
    <row r="20" spans="2:19" x14ac:dyDescent="0.25">
      <c r="C20" s="61">
        <v>3</v>
      </c>
      <c r="D20" s="62">
        <f t="shared" si="0"/>
        <v>0</v>
      </c>
      <c r="E20" s="62" t="str">
        <f t="shared" si="7"/>
        <v>Preamm</v>
      </c>
      <c r="F20" s="63">
        <f t="shared" si="1"/>
        <v>0</v>
      </c>
      <c r="G20" s="63">
        <f t="shared" si="2"/>
        <v>0</v>
      </c>
      <c r="H20" s="63">
        <f t="shared" si="3"/>
        <v>2088</v>
      </c>
      <c r="I20" s="63">
        <f t="shared" si="4"/>
        <v>20880</v>
      </c>
      <c r="J20" s="63">
        <f t="shared" si="5"/>
        <v>20880</v>
      </c>
      <c r="K20" s="63">
        <f t="shared" si="8"/>
        <v>0</v>
      </c>
      <c r="L20" s="63">
        <f t="shared" si="9"/>
        <v>900000</v>
      </c>
      <c r="M20" s="63">
        <f t="shared" si="10"/>
        <v>18792</v>
      </c>
      <c r="N20" s="64">
        <f t="shared" si="6"/>
        <v>17556.033759332622</v>
      </c>
      <c r="P20" s="67" t="s">
        <v>0</v>
      </c>
      <c r="Q20" s="68">
        <f>VLOOKUP(G9,Input!$M$2:$P$7,4,0)</f>
        <v>4</v>
      </c>
      <c r="R20" s="67" t="s">
        <v>3</v>
      </c>
      <c r="S20" s="68">
        <f>VLOOKUP(O11,Input!$E$2:$F$4,2,0)</f>
        <v>1</v>
      </c>
    </row>
    <row r="21" spans="2:19" x14ac:dyDescent="0.25">
      <c r="C21" s="61">
        <v>4</v>
      </c>
      <c r="D21" s="62">
        <f t="shared" si="0"/>
        <v>0</v>
      </c>
      <c r="E21" s="62" t="str">
        <f t="shared" si="7"/>
        <v>Preamm</v>
      </c>
      <c r="F21" s="63">
        <f t="shared" si="1"/>
        <v>0</v>
      </c>
      <c r="G21" s="63">
        <f t="shared" si="2"/>
        <v>0</v>
      </c>
      <c r="H21" s="63">
        <f t="shared" si="3"/>
        <v>2088</v>
      </c>
      <c r="I21" s="63">
        <f t="shared" si="4"/>
        <v>20880</v>
      </c>
      <c r="J21" s="63">
        <f t="shared" si="5"/>
        <v>20880</v>
      </c>
      <c r="K21" s="63">
        <f t="shared" si="8"/>
        <v>0</v>
      </c>
      <c r="L21" s="63">
        <f t="shared" si="9"/>
        <v>900000</v>
      </c>
      <c r="M21" s="63">
        <f t="shared" si="10"/>
        <v>18792</v>
      </c>
      <c r="N21" s="64">
        <f t="shared" si="6"/>
        <v>17162.38111270095</v>
      </c>
    </row>
    <row r="22" spans="2:19" x14ac:dyDescent="0.25">
      <c r="C22" s="61">
        <v>5</v>
      </c>
      <c r="D22" s="62">
        <f t="shared" si="0"/>
        <v>1</v>
      </c>
      <c r="E22" s="62" t="str">
        <f t="shared" si="7"/>
        <v>Amm</v>
      </c>
      <c r="F22" s="63">
        <f t="shared" si="1"/>
        <v>137230.21161265139</v>
      </c>
      <c r="G22" s="63">
        <f t="shared" si="2"/>
        <v>112500</v>
      </c>
      <c r="H22" s="63">
        <f t="shared" si="3"/>
        <v>2088</v>
      </c>
      <c r="I22" s="63">
        <f t="shared" si="4"/>
        <v>20880</v>
      </c>
      <c r="J22" s="63">
        <f t="shared" si="5"/>
        <v>20880</v>
      </c>
      <c r="K22" s="63">
        <f t="shared" si="8"/>
        <v>112500</v>
      </c>
      <c r="L22" s="63">
        <f t="shared" si="9"/>
        <v>787500</v>
      </c>
      <c r="M22" s="63">
        <f t="shared" si="10"/>
        <v>18792</v>
      </c>
      <c r="N22" s="64">
        <f t="shared" si="6"/>
        <v>16777.555198138973</v>
      </c>
    </row>
    <row r="23" spans="2:19" x14ac:dyDescent="0.25">
      <c r="C23" s="61">
        <v>6</v>
      </c>
      <c r="D23" s="62">
        <f t="shared" si="0"/>
        <v>2</v>
      </c>
      <c r="E23" s="62" t="str">
        <f t="shared" si="7"/>
        <v>Amm</v>
      </c>
      <c r="F23" s="63">
        <f t="shared" si="1"/>
        <v>137230.21161265139</v>
      </c>
      <c r="G23" s="63">
        <f t="shared" si="2"/>
        <v>112500</v>
      </c>
      <c r="H23" s="63">
        <f t="shared" si="3"/>
        <v>1829.1119533513167</v>
      </c>
      <c r="I23" s="63">
        <f t="shared" si="4"/>
        <v>18474.645169917269</v>
      </c>
      <c r="J23" s="63">
        <f t="shared" si="5"/>
        <v>18474.645169917269</v>
      </c>
      <c r="K23" s="63">
        <f t="shared" si="8"/>
        <v>225000</v>
      </c>
      <c r="L23" s="63">
        <f t="shared" si="9"/>
        <v>675000</v>
      </c>
      <c r="M23" s="63">
        <f t="shared" si="10"/>
        <v>16645.533216565953</v>
      </c>
      <c r="N23" s="64">
        <f t="shared" si="6"/>
        <v>14527.956098361474</v>
      </c>
    </row>
    <row r="24" spans="2:19" x14ac:dyDescent="0.25">
      <c r="C24" s="61">
        <v>7</v>
      </c>
      <c r="D24" s="62">
        <f t="shared" si="0"/>
        <v>3</v>
      </c>
      <c r="E24" s="62" t="str">
        <f t="shared" si="7"/>
        <v>Amm</v>
      </c>
      <c r="F24" s="63">
        <f t="shared" si="1"/>
        <v>137230.21161265139</v>
      </c>
      <c r="G24" s="63">
        <f t="shared" si="2"/>
        <v>112500</v>
      </c>
      <c r="H24" s="63">
        <f t="shared" si="3"/>
        <v>1569.6232864344086</v>
      </c>
      <c r="I24" s="63">
        <f t="shared" si="4"/>
        <v>16013.48610777662</v>
      </c>
      <c r="J24" s="63">
        <f t="shared" si="5"/>
        <v>16013.48610777662</v>
      </c>
      <c r="K24" s="63">
        <f t="shared" si="8"/>
        <v>337500</v>
      </c>
      <c r="L24" s="63">
        <f t="shared" si="9"/>
        <v>562500</v>
      </c>
      <c r="M24" s="63">
        <f t="shared" si="10"/>
        <v>14443.862821342211</v>
      </c>
      <c r="N24" s="64">
        <f t="shared" si="6"/>
        <v>12323.705082033994</v>
      </c>
    </row>
    <row r="25" spans="2:19" x14ac:dyDescent="0.25">
      <c r="C25" s="61">
        <v>8</v>
      </c>
      <c r="D25" s="62">
        <f t="shared" si="0"/>
        <v>4</v>
      </c>
      <c r="E25" s="62" t="str">
        <f t="shared" si="7"/>
        <v>Amm</v>
      </c>
      <c r="F25" s="63">
        <f t="shared" si="1"/>
        <v>137230.21161265139</v>
      </c>
      <c r="G25" s="63">
        <f t="shared" si="2"/>
        <v>112500</v>
      </c>
      <c r="H25" s="63">
        <f t="shared" si="3"/>
        <v>1309.5326058102532</v>
      </c>
      <c r="I25" s="63">
        <f t="shared" si="4"/>
        <v>13495.228155394314</v>
      </c>
      <c r="J25" s="63">
        <f t="shared" si="5"/>
        <v>13495.228155394314</v>
      </c>
      <c r="K25" s="63">
        <f t="shared" si="8"/>
        <v>450000</v>
      </c>
      <c r="L25" s="63">
        <f t="shared" si="9"/>
        <v>450000</v>
      </c>
      <c r="M25" s="63">
        <f t="shared" si="10"/>
        <v>12185.695549584061</v>
      </c>
      <c r="N25" s="64">
        <f t="shared" si="6"/>
        <v>10163.876971127444</v>
      </c>
    </row>
    <row r="26" spans="2:19" x14ac:dyDescent="0.25">
      <c r="C26" s="61">
        <v>9</v>
      </c>
      <c r="D26" s="62">
        <f t="shared" si="0"/>
        <v>5</v>
      </c>
      <c r="E26" s="62" t="str">
        <f t="shared" si="7"/>
        <v>Amm</v>
      </c>
      <c r="F26" s="63">
        <f>-IF(E26="",0,IF(E26="Preamm",0,(PMT($D$9,$Q$18,$J$9,0,0))))</f>
        <v>137230.21161265139</v>
      </c>
      <c r="G26" s="63">
        <f t="shared" si="2"/>
        <v>112500</v>
      </c>
      <c r="H26" s="63">
        <f t="shared" si="3"/>
        <v>1048.8385148070495</v>
      </c>
      <c r="I26" s="63">
        <f t="shared" si="4"/>
        <v>10918.546618516733</v>
      </c>
      <c r="J26" s="63">
        <f t="shared" si="5"/>
        <v>10918.546618516733</v>
      </c>
      <c r="K26" s="63">
        <f t="shared" si="8"/>
        <v>562500</v>
      </c>
      <c r="L26" s="63">
        <f t="shared" si="9"/>
        <v>337500</v>
      </c>
      <c r="M26" s="63">
        <f t="shared" si="10"/>
        <v>9869.7081037096832</v>
      </c>
      <c r="N26" s="64">
        <f t="shared" si="6"/>
        <v>8047.5654826244236</v>
      </c>
    </row>
    <row r="27" spans="2:19" x14ac:dyDescent="0.25">
      <c r="C27" s="61">
        <v>10</v>
      </c>
      <c r="D27" s="62">
        <f t="shared" si="0"/>
        <v>6</v>
      </c>
      <c r="E27" s="62" t="str">
        <f t="shared" si="7"/>
        <v>Amm</v>
      </c>
      <c r="F27" s="63">
        <f>-IF(E27="",0,IF(E27="Preamm",0,(PMT($D$9,$Q$18,$J$9,0,0))))</f>
        <v>137230.21161265139</v>
      </c>
      <c r="G27" s="63">
        <f t="shared" si="2"/>
        <v>112500</v>
      </c>
      <c r="H27" s="63">
        <f t="shared" si="3"/>
        <v>787.53961351271846</v>
      </c>
      <c r="I27" s="63">
        <f t="shared" si="4"/>
        <v>8282.0860699835939</v>
      </c>
      <c r="J27" s="63">
        <f t="shared" si="5"/>
        <v>8282.0860699835939</v>
      </c>
      <c r="K27" s="63">
        <f t="shared" si="8"/>
        <v>675000</v>
      </c>
      <c r="L27" s="63">
        <f t="shared" si="9"/>
        <v>225000</v>
      </c>
      <c r="M27" s="63">
        <f t="shared" si="10"/>
        <v>7494.5464564708755</v>
      </c>
      <c r="N27" s="64">
        <f t="shared" si="6"/>
        <v>5973.8828421270264</v>
      </c>
    </row>
    <row r="28" spans="2:19" x14ac:dyDescent="0.25">
      <c r="C28" s="61">
        <v>11</v>
      </c>
      <c r="D28" s="62">
        <f t="shared" si="0"/>
        <v>7</v>
      </c>
      <c r="E28" s="62" t="str">
        <f t="shared" si="7"/>
        <v>Amm</v>
      </c>
      <c r="F28" s="63">
        <f>-IF(E28="",0,IF(E28="Preamm",0,(PMT($D$9,$Q$18,$J$9,0,0))))</f>
        <v>137230.21161265139</v>
      </c>
      <c r="G28" s="63">
        <f t="shared" si="2"/>
        <v>112500</v>
      </c>
      <c r="H28" s="63">
        <f t="shared" si="3"/>
        <v>525.63449876738468</v>
      </c>
      <c r="I28" s="63">
        <f t="shared" si="4"/>
        <v>5584.4596367244858</v>
      </c>
      <c r="J28" s="63">
        <f t="shared" si="5"/>
        <v>5584.4596367244858</v>
      </c>
      <c r="K28" s="63">
        <f t="shared" si="8"/>
        <v>787500</v>
      </c>
      <c r="L28" s="63">
        <f t="shared" si="9"/>
        <v>112500</v>
      </c>
      <c r="M28" s="63">
        <f t="shared" si="10"/>
        <v>5058.8251379571011</v>
      </c>
      <c r="N28" s="64">
        <f t="shared" si="6"/>
        <v>3941.9594053770975</v>
      </c>
    </row>
    <row r="29" spans="2:19" x14ac:dyDescent="0.25">
      <c r="C29" s="61">
        <v>12</v>
      </c>
      <c r="D29" s="62">
        <f t="shared" si="0"/>
        <v>8</v>
      </c>
      <c r="E29" s="62" t="str">
        <f t="shared" si="7"/>
        <v>Amm</v>
      </c>
      <c r="F29" s="63">
        <f>-IF(E29="",0,IF(E29="Preamm",0,(PMT($D$9,$Q$18,$J$9,0,0))))</f>
        <v>137230.21161265139</v>
      </c>
      <c r="G29" s="63">
        <f t="shared" si="2"/>
        <v>112500</v>
      </c>
      <c r="H29" s="63">
        <f t="shared" si="3"/>
        <v>263.12176415584179</v>
      </c>
      <c r="I29" s="63">
        <f t="shared" si="4"/>
        <v>2824.2482702137677</v>
      </c>
      <c r="J29" s="63">
        <f t="shared" si="5"/>
        <v>2824.2482702137677</v>
      </c>
      <c r="K29" s="63">
        <f t="shared" si="8"/>
        <v>900000</v>
      </c>
      <c r="L29" s="63">
        <f t="shared" si="9"/>
        <v>0</v>
      </c>
      <c r="M29" s="63">
        <f t="shared" si="10"/>
        <v>2561.1265060579258</v>
      </c>
      <c r="N29" s="64">
        <f t="shared" si="6"/>
        <v>1950.9432875267225</v>
      </c>
    </row>
    <row r="30" spans="2:19" s="69" customFormat="1" ht="20.45" customHeight="1" thickBot="1" x14ac:dyDescent="0.3">
      <c r="C30" s="127" t="s">
        <v>67</v>
      </c>
      <c r="D30" s="128"/>
      <c r="E30" s="128"/>
      <c r="F30" s="70">
        <f>SUM(F18:F29)</f>
        <v>1097841.6929012111</v>
      </c>
      <c r="G30" s="71">
        <f>SUM(G18:G29)</f>
        <v>900000</v>
      </c>
      <c r="H30" s="71">
        <f>SUM(H18:H29)</f>
        <v>17773.402236838974</v>
      </c>
      <c r="I30" s="71">
        <f>SUM(I18:I29)</f>
        <v>179992.7000285268</v>
      </c>
      <c r="J30" s="71">
        <f>SUM(J18:J29)</f>
        <v>179992.7000285268</v>
      </c>
      <c r="K30" s="71"/>
      <c r="L30" s="72"/>
      <c r="M30" s="71">
        <f t="shared" ref="M30:N30" si="11">SUM(M18:M29)</f>
        <v>162219.29779168777</v>
      </c>
      <c r="N30" s="73">
        <f t="shared" si="11"/>
        <v>144755.20856144669</v>
      </c>
    </row>
    <row r="31" spans="2:19" s="74" customFormat="1" x14ac:dyDescent="0.25">
      <c r="B31" s="20"/>
      <c r="C31" s="20"/>
      <c r="E31" s="20"/>
      <c r="F31" s="75"/>
      <c r="H31" s="76"/>
      <c r="I31" s="75"/>
      <c r="J31" s="75"/>
      <c r="K31" s="75"/>
      <c r="L31" s="75"/>
      <c r="M31" s="75"/>
      <c r="N31" s="75"/>
      <c r="O31" s="75"/>
      <c r="P31" s="75"/>
    </row>
    <row r="32" spans="2:19" s="74" customFormat="1" x14ac:dyDescent="0.25">
      <c r="F32" s="77"/>
      <c r="H32" s="76"/>
      <c r="I32" s="76"/>
      <c r="J32" s="76"/>
      <c r="K32" s="76"/>
      <c r="L32" s="76"/>
      <c r="M32" s="76"/>
      <c r="N32" s="76"/>
      <c r="O32" s="78"/>
      <c r="P32" s="78"/>
    </row>
    <row r="33" spans="2:16" s="74" customFormat="1" x14ac:dyDescent="0.25">
      <c r="F33" s="77"/>
      <c r="H33" s="76"/>
      <c r="I33" s="76"/>
      <c r="J33" s="76"/>
      <c r="K33" s="76"/>
      <c r="L33" s="76"/>
      <c r="M33" s="76"/>
      <c r="N33" s="76"/>
      <c r="O33" s="78"/>
      <c r="P33" s="78"/>
    </row>
    <row r="34" spans="2:16" s="74" customFormat="1" x14ac:dyDescent="0.25">
      <c r="F34" s="77"/>
      <c r="H34" s="76"/>
      <c r="I34" s="76"/>
      <c r="J34" s="76"/>
      <c r="K34" s="76"/>
      <c r="L34" s="76"/>
      <c r="M34" s="76"/>
      <c r="N34" s="76"/>
      <c r="O34" s="78"/>
      <c r="P34" s="78"/>
    </row>
    <row r="35" spans="2:16" s="74" customFormat="1" x14ac:dyDescent="0.25">
      <c r="F35" s="77"/>
      <c r="H35" s="76"/>
      <c r="I35" s="76"/>
      <c r="J35" s="76"/>
      <c r="K35" s="76"/>
      <c r="L35" s="76"/>
      <c r="M35" s="76"/>
      <c r="N35" s="76"/>
      <c r="O35" s="78"/>
      <c r="P35" s="78"/>
    </row>
    <row r="36" spans="2:16" ht="21.6" customHeight="1" x14ac:dyDescent="0.25">
      <c r="B36" s="79"/>
      <c r="C36" s="79"/>
      <c r="E36" s="79"/>
      <c r="F36" s="79"/>
      <c r="H36" s="79"/>
      <c r="I36" s="79"/>
      <c r="J36" s="79"/>
      <c r="K36" s="79"/>
      <c r="L36" s="79"/>
      <c r="M36" s="79"/>
      <c r="N36" s="79"/>
      <c r="O36" s="79"/>
      <c r="P36" s="79"/>
    </row>
    <row r="37" spans="2:16" s="74" customFormat="1" x14ac:dyDescent="0.25">
      <c r="B37" s="20"/>
      <c r="C37" s="3"/>
      <c r="E37" s="20"/>
      <c r="F37" s="1"/>
      <c r="H37" s="2"/>
      <c r="I37" s="20"/>
      <c r="J37" s="80"/>
      <c r="K37" s="80"/>
      <c r="L37" s="80"/>
      <c r="M37" s="20"/>
      <c r="N37" s="1"/>
      <c r="O37" s="20"/>
      <c r="P37" s="1"/>
    </row>
    <row r="38" spans="2:16" s="74" customFormat="1" x14ac:dyDescent="0.25">
      <c r="B38" s="20"/>
      <c r="C38" s="3"/>
      <c r="E38" s="20"/>
      <c r="F38" s="2"/>
      <c r="H38" s="2"/>
      <c r="I38" s="20"/>
      <c r="J38" s="1"/>
      <c r="K38" s="1"/>
      <c r="L38" s="1"/>
      <c r="M38" s="20"/>
      <c r="N38" s="3"/>
      <c r="O38" s="20"/>
      <c r="P38" s="1"/>
    </row>
    <row r="39" spans="2:16" s="74" customFormat="1" x14ac:dyDescent="0.25">
      <c r="B39" s="20"/>
      <c r="C39" s="3"/>
      <c r="E39" s="20"/>
      <c r="F39" s="2"/>
      <c r="H39" s="2"/>
      <c r="I39" s="20"/>
      <c r="J39" s="4"/>
      <c r="K39" s="4"/>
      <c r="L39" s="4"/>
      <c r="M39" s="20"/>
      <c r="N39" s="1"/>
      <c r="O39" s="20"/>
      <c r="P39" s="81"/>
    </row>
    <row r="40" spans="2:16" s="74" customFormat="1" x14ac:dyDescent="0.25">
      <c r="B40" s="2"/>
      <c r="C40" s="2"/>
      <c r="E40" s="2"/>
      <c r="F40" s="2"/>
      <c r="H40" s="2"/>
      <c r="I40" s="20"/>
      <c r="J40" s="50"/>
      <c r="K40" s="50"/>
      <c r="L40" s="50"/>
      <c r="M40" s="20"/>
      <c r="N40" s="4"/>
      <c r="O40" s="2"/>
      <c r="P40" s="2"/>
    </row>
    <row r="41" spans="2:16" ht="8.4499999999999993" customHeight="1" x14ac:dyDescent="0.25">
      <c r="I41" s="82"/>
      <c r="J41" s="83"/>
      <c r="K41" s="83"/>
      <c r="L41" s="83"/>
      <c r="N41" s="84"/>
    </row>
    <row r="42" spans="2:16" s="74" customFormat="1" ht="34.5" customHeight="1" x14ac:dyDescent="0.25">
      <c r="B42" s="52"/>
      <c r="C42" s="52"/>
      <c r="E42" s="52"/>
      <c r="F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s="74" customFormat="1" x14ac:dyDescent="0.25">
      <c r="B43" s="62"/>
      <c r="C43" s="62"/>
      <c r="E43" s="62"/>
      <c r="F43" s="1"/>
      <c r="H43" s="1"/>
      <c r="I43" s="1"/>
      <c r="J43" s="1"/>
      <c r="K43" s="1"/>
      <c r="L43" s="1"/>
      <c r="M43" s="1"/>
      <c r="N43" s="1"/>
      <c r="O43" s="1"/>
      <c r="P43" s="1"/>
    </row>
    <row r="44" spans="2:16" s="74" customFormat="1" x14ac:dyDescent="0.25">
      <c r="B44" s="62"/>
      <c r="C44" s="62"/>
      <c r="E44" s="62"/>
      <c r="F44" s="1"/>
      <c r="H44" s="1"/>
      <c r="I44" s="1"/>
      <c r="J44" s="1"/>
      <c r="K44" s="1"/>
      <c r="L44" s="1"/>
      <c r="M44" s="1"/>
      <c r="N44" s="1"/>
      <c r="O44" s="1"/>
      <c r="P44" s="1"/>
    </row>
    <row r="45" spans="2:16" s="74" customFormat="1" x14ac:dyDescent="0.25">
      <c r="B45" s="62"/>
      <c r="C45" s="62"/>
      <c r="E45" s="62"/>
      <c r="F45" s="1"/>
      <c r="H45" s="1"/>
      <c r="I45" s="1"/>
      <c r="J45" s="1"/>
      <c r="K45" s="1"/>
      <c r="L45" s="1"/>
      <c r="M45" s="1"/>
      <c r="N45" s="1"/>
      <c r="O45" s="1"/>
      <c r="P45" s="1"/>
    </row>
    <row r="46" spans="2:16" s="74" customFormat="1" x14ac:dyDescent="0.25">
      <c r="B46" s="62"/>
      <c r="C46" s="62"/>
      <c r="E46" s="62"/>
      <c r="F46" s="1"/>
      <c r="H46" s="1"/>
      <c r="I46" s="1"/>
      <c r="J46" s="1"/>
      <c r="K46" s="1"/>
      <c r="L46" s="1"/>
      <c r="M46" s="1"/>
      <c r="N46" s="1"/>
      <c r="O46" s="1"/>
      <c r="P46" s="1"/>
    </row>
    <row r="47" spans="2:16" s="74" customFormat="1" x14ac:dyDescent="0.25">
      <c r="B47" s="62"/>
      <c r="C47" s="62"/>
      <c r="E47" s="62"/>
      <c r="F47" s="1"/>
      <c r="H47" s="1"/>
      <c r="I47" s="1"/>
      <c r="J47" s="1"/>
      <c r="K47" s="1"/>
      <c r="L47" s="1"/>
      <c r="M47" s="1"/>
      <c r="N47" s="1"/>
      <c r="O47" s="1"/>
      <c r="P47" s="1"/>
    </row>
    <row r="48" spans="2:16" s="74" customFormat="1" x14ac:dyDescent="0.25">
      <c r="B48" s="62"/>
      <c r="C48" s="62"/>
      <c r="E48" s="62"/>
      <c r="F48" s="1"/>
      <c r="H48" s="1"/>
      <c r="I48" s="1"/>
      <c r="J48" s="1"/>
      <c r="K48" s="1"/>
      <c r="L48" s="1"/>
      <c r="M48" s="1"/>
      <c r="N48" s="1"/>
      <c r="O48" s="1"/>
      <c r="P48" s="1"/>
    </row>
    <row r="49" spans="2:16" s="74" customFormat="1" x14ac:dyDescent="0.25">
      <c r="B49" s="62"/>
      <c r="C49" s="62"/>
      <c r="E49" s="62"/>
      <c r="F49" s="1"/>
      <c r="H49" s="1"/>
      <c r="I49" s="1"/>
      <c r="J49" s="1"/>
      <c r="K49" s="1"/>
      <c r="L49" s="1"/>
      <c r="M49" s="1"/>
      <c r="N49" s="1"/>
      <c r="O49" s="1"/>
      <c r="P49" s="1"/>
    </row>
    <row r="50" spans="2:16" s="74" customFormat="1" x14ac:dyDescent="0.25">
      <c r="B50" s="62"/>
      <c r="C50" s="62"/>
      <c r="E50" s="62"/>
      <c r="F50" s="1"/>
      <c r="H50" s="1"/>
      <c r="I50" s="1"/>
      <c r="J50" s="1"/>
      <c r="K50" s="1"/>
      <c r="L50" s="1"/>
      <c r="M50" s="1"/>
      <c r="N50" s="1"/>
      <c r="O50" s="1"/>
      <c r="P50" s="1"/>
    </row>
    <row r="51" spans="2:16" s="74" customFormat="1" x14ac:dyDescent="0.25">
      <c r="B51" s="62"/>
      <c r="C51" s="62"/>
      <c r="E51" s="62"/>
      <c r="F51" s="1"/>
      <c r="H51" s="1"/>
      <c r="I51" s="1"/>
      <c r="J51" s="1"/>
      <c r="K51" s="1"/>
      <c r="L51" s="1"/>
      <c r="M51" s="1"/>
      <c r="N51" s="1"/>
      <c r="O51" s="1"/>
      <c r="P51" s="1"/>
    </row>
    <row r="52" spans="2:16" s="74" customFormat="1" x14ac:dyDescent="0.25">
      <c r="B52" s="62"/>
      <c r="C52" s="62"/>
      <c r="E52" s="62"/>
      <c r="F52" s="1"/>
      <c r="H52" s="1"/>
      <c r="I52" s="1"/>
      <c r="J52" s="1"/>
      <c r="K52" s="1"/>
      <c r="L52" s="1"/>
      <c r="M52" s="1"/>
      <c r="N52" s="1"/>
      <c r="O52" s="1"/>
      <c r="P52" s="1"/>
    </row>
    <row r="53" spans="2:16" s="74" customFormat="1" x14ac:dyDescent="0.25">
      <c r="B53" s="62"/>
      <c r="C53" s="62"/>
      <c r="E53" s="62"/>
      <c r="F53" s="1"/>
      <c r="H53" s="1"/>
      <c r="I53" s="1"/>
      <c r="J53" s="1"/>
      <c r="K53" s="1"/>
      <c r="L53" s="1"/>
      <c r="M53" s="1"/>
      <c r="N53" s="1"/>
      <c r="O53" s="1"/>
      <c r="P53" s="1"/>
    </row>
    <row r="54" spans="2:16" s="74" customFormat="1" x14ac:dyDescent="0.25">
      <c r="B54" s="62"/>
      <c r="C54" s="62"/>
      <c r="E54" s="62"/>
      <c r="F54" s="1"/>
      <c r="H54" s="1"/>
      <c r="I54" s="1"/>
      <c r="J54" s="1"/>
      <c r="K54" s="1"/>
      <c r="L54" s="1"/>
      <c r="M54" s="1"/>
      <c r="N54" s="1"/>
      <c r="O54" s="1"/>
      <c r="P54" s="1"/>
    </row>
    <row r="55" spans="2:16" s="74" customFormat="1" x14ac:dyDescent="0.25">
      <c r="B55" s="85"/>
      <c r="C55" s="85"/>
      <c r="E55" s="85"/>
      <c r="F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2:16" s="74" customFormat="1" x14ac:dyDescent="0.25">
      <c r="F56" s="77"/>
      <c r="H56" s="76"/>
      <c r="I56" s="76"/>
      <c r="J56" s="76"/>
      <c r="K56" s="76"/>
      <c r="L56" s="76"/>
      <c r="M56" s="76"/>
      <c r="N56" s="76"/>
      <c r="O56" s="78"/>
      <c r="P56" s="78"/>
    </row>
    <row r="57" spans="2:16" s="74" customFormat="1" x14ac:dyDescent="0.25">
      <c r="F57" s="77"/>
      <c r="H57" s="76"/>
      <c r="I57" s="76"/>
      <c r="J57" s="76"/>
      <c r="K57" s="76"/>
      <c r="L57" s="76"/>
      <c r="M57" s="76"/>
      <c r="N57" s="76"/>
      <c r="O57" s="78"/>
      <c r="P57" s="78"/>
    </row>
    <row r="58" spans="2:16" s="74" customFormat="1" x14ac:dyDescent="0.25">
      <c r="F58" s="77"/>
      <c r="H58" s="76"/>
      <c r="I58" s="76"/>
      <c r="J58" s="76"/>
      <c r="K58" s="76"/>
      <c r="L58" s="76"/>
      <c r="M58" s="76"/>
      <c r="N58" s="76"/>
      <c r="O58" s="78"/>
      <c r="P58" s="78"/>
    </row>
    <row r="59" spans="2:16" s="74" customFormat="1" x14ac:dyDescent="0.25">
      <c r="F59" s="77"/>
      <c r="H59" s="76"/>
      <c r="I59" s="76"/>
      <c r="J59" s="76"/>
      <c r="K59" s="76"/>
      <c r="L59" s="76"/>
      <c r="M59" s="76"/>
      <c r="N59" s="76"/>
      <c r="O59" s="78"/>
      <c r="P59" s="78"/>
    </row>
    <row r="60" spans="2:16" ht="21.6" customHeight="1" x14ac:dyDescent="0.25">
      <c r="B60" s="79"/>
      <c r="C60" s="79"/>
      <c r="E60" s="79"/>
      <c r="F60" s="79"/>
      <c r="H60" s="79"/>
      <c r="I60" s="79"/>
      <c r="J60" s="79"/>
      <c r="K60" s="79"/>
      <c r="L60" s="79"/>
      <c r="M60" s="79"/>
      <c r="N60" s="79"/>
      <c r="O60" s="79"/>
      <c r="P60" s="79"/>
    </row>
    <row r="61" spans="2:16" s="74" customFormat="1" x14ac:dyDescent="0.25">
      <c r="B61" s="20"/>
      <c r="C61" s="3"/>
      <c r="E61" s="20"/>
      <c r="F61" s="1"/>
      <c r="H61" s="2"/>
      <c r="I61" s="20"/>
      <c r="J61" s="80"/>
      <c r="K61" s="80"/>
      <c r="L61" s="80"/>
      <c r="M61" s="20"/>
      <c r="N61" s="1"/>
      <c r="O61" s="20"/>
      <c r="P61" s="1"/>
    </row>
    <row r="62" spans="2:16" s="74" customFormat="1" x14ac:dyDescent="0.25">
      <c r="B62" s="20"/>
      <c r="C62" s="3"/>
      <c r="E62" s="20"/>
      <c r="F62" s="2"/>
      <c r="H62" s="2"/>
      <c r="I62" s="20"/>
      <c r="J62" s="1"/>
      <c r="K62" s="1"/>
      <c r="L62" s="1"/>
      <c r="M62" s="20"/>
      <c r="N62" s="3"/>
      <c r="O62" s="20"/>
      <c r="P62" s="1"/>
    </row>
    <row r="63" spans="2:16" s="74" customFormat="1" x14ac:dyDescent="0.25">
      <c r="B63" s="20"/>
      <c r="C63" s="3"/>
      <c r="E63" s="20"/>
      <c r="F63" s="2"/>
      <c r="H63" s="2"/>
      <c r="I63" s="20"/>
      <c r="J63" s="4"/>
      <c r="K63" s="4"/>
      <c r="L63" s="4"/>
      <c r="M63" s="20"/>
      <c r="N63" s="1"/>
      <c r="O63" s="20"/>
      <c r="P63" s="62"/>
    </row>
    <row r="64" spans="2:16" s="74" customFormat="1" x14ac:dyDescent="0.25">
      <c r="B64" s="2"/>
      <c r="C64" s="2"/>
      <c r="E64" s="2"/>
      <c r="F64" s="2"/>
      <c r="H64" s="2"/>
      <c r="I64" s="20"/>
      <c r="J64" s="50"/>
      <c r="K64" s="50"/>
      <c r="L64" s="50"/>
      <c r="M64" s="20"/>
      <c r="N64" s="4"/>
      <c r="O64" s="2"/>
      <c r="P64" s="2"/>
    </row>
    <row r="65" spans="2:16" ht="8.4499999999999993" customHeight="1" x14ac:dyDescent="0.25">
      <c r="I65" s="82"/>
      <c r="J65" s="83"/>
      <c r="K65" s="83"/>
      <c r="L65" s="83"/>
      <c r="N65" s="84"/>
    </row>
    <row r="66" spans="2:16" s="74" customFormat="1" ht="33.6" customHeight="1" x14ac:dyDescent="0.25">
      <c r="B66" s="52"/>
      <c r="C66" s="52"/>
      <c r="E66" s="52"/>
      <c r="F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2:16" s="74" customFormat="1" x14ac:dyDescent="0.25">
      <c r="B67" s="62"/>
      <c r="C67" s="62"/>
      <c r="E67" s="62"/>
      <c r="F67" s="1"/>
      <c r="H67" s="1"/>
      <c r="I67" s="1"/>
      <c r="J67" s="1"/>
      <c r="K67" s="1"/>
      <c r="L67" s="1"/>
      <c r="M67" s="1"/>
      <c r="N67" s="1"/>
      <c r="O67" s="1"/>
      <c r="P67" s="1"/>
    </row>
    <row r="68" spans="2:16" s="74" customFormat="1" x14ac:dyDescent="0.25">
      <c r="B68" s="62"/>
      <c r="C68" s="62"/>
      <c r="E68" s="62"/>
      <c r="F68" s="1"/>
      <c r="H68" s="1"/>
      <c r="I68" s="1"/>
      <c r="J68" s="1"/>
      <c r="K68" s="1"/>
      <c r="L68" s="1"/>
      <c r="M68" s="1"/>
      <c r="N68" s="1"/>
      <c r="O68" s="1"/>
      <c r="P68" s="1"/>
    </row>
    <row r="69" spans="2:16" s="74" customFormat="1" x14ac:dyDescent="0.25">
      <c r="B69" s="62"/>
      <c r="C69" s="62"/>
      <c r="E69" s="62"/>
      <c r="F69" s="1"/>
      <c r="H69" s="1"/>
      <c r="I69" s="1"/>
      <c r="J69" s="1"/>
      <c r="K69" s="1"/>
      <c r="L69" s="1"/>
      <c r="M69" s="1"/>
      <c r="N69" s="1"/>
      <c r="O69" s="1"/>
      <c r="P69" s="1"/>
    </row>
    <row r="70" spans="2:16" s="74" customFormat="1" x14ac:dyDescent="0.25">
      <c r="B70" s="62"/>
      <c r="C70" s="62"/>
      <c r="E70" s="62"/>
      <c r="F70" s="1"/>
      <c r="H70" s="1"/>
      <c r="I70" s="1"/>
      <c r="J70" s="1"/>
      <c r="K70" s="1"/>
      <c r="L70" s="1"/>
      <c r="M70" s="1"/>
      <c r="N70" s="1"/>
      <c r="O70" s="1"/>
      <c r="P70" s="1"/>
    </row>
    <row r="71" spans="2:16" s="74" customFormat="1" x14ac:dyDescent="0.25">
      <c r="B71" s="62"/>
      <c r="C71" s="62"/>
      <c r="E71" s="62"/>
      <c r="F71" s="1"/>
      <c r="H71" s="1"/>
      <c r="I71" s="1"/>
      <c r="J71" s="1"/>
      <c r="K71" s="1"/>
      <c r="L71" s="1"/>
      <c r="M71" s="1"/>
      <c r="N71" s="1"/>
      <c r="O71" s="1"/>
      <c r="P71" s="1"/>
    </row>
    <row r="72" spans="2:16" s="74" customFormat="1" x14ac:dyDescent="0.25">
      <c r="B72" s="62"/>
      <c r="C72" s="62"/>
      <c r="E72" s="62"/>
      <c r="F72" s="1"/>
      <c r="H72" s="1"/>
      <c r="I72" s="1"/>
      <c r="J72" s="1"/>
      <c r="K72" s="1"/>
      <c r="L72" s="1"/>
      <c r="M72" s="1"/>
      <c r="N72" s="1"/>
      <c r="O72" s="1"/>
      <c r="P72" s="1"/>
    </row>
    <row r="73" spans="2:16" s="74" customFormat="1" x14ac:dyDescent="0.25">
      <c r="B73" s="62"/>
      <c r="C73" s="62"/>
      <c r="E73" s="62"/>
      <c r="F73" s="1"/>
      <c r="H73" s="1"/>
      <c r="I73" s="1"/>
      <c r="J73" s="1"/>
      <c r="K73" s="1"/>
      <c r="L73" s="1"/>
      <c r="M73" s="1"/>
      <c r="N73" s="1"/>
      <c r="O73" s="1"/>
      <c r="P73" s="1"/>
    </row>
    <row r="74" spans="2:16" s="74" customFormat="1" x14ac:dyDescent="0.25">
      <c r="B74" s="62"/>
      <c r="C74" s="62"/>
      <c r="E74" s="62"/>
      <c r="F74" s="1"/>
      <c r="H74" s="1"/>
      <c r="I74" s="1"/>
      <c r="J74" s="1"/>
      <c r="K74" s="1"/>
      <c r="L74" s="1"/>
      <c r="M74" s="1"/>
      <c r="N74" s="1"/>
      <c r="O74" s="1"/>
      <c r="P74" s="1"/>
    </row>
    <row r="75" spans="2:16" s="74" customFormat="1" x14ac:dyDescent="0.25">
      <c r="B75" s="62"/>
      <c r="C75" s="62"/>
      <c r="E75" s="62"/>
      <c r="F75" s="1"/>
      <c r="H75" s="1"/>
      <c r="I75" s="1"/>
      <c r="J75" s="1"/>
      <c r="K75" s="1"/>
      <c r="L75" s="1"/>
      <c r="M75" s="1"/>
      <c r="N75" s="1"/>
      <c r="O75" s="1"/>
      <c r="P75" s="1"/>
    </row>
    <row r="76" spans="2:16" s="74" customFormat="1" x14ac:dyDescent="0.25">
      <c r="B76" s="62"/>
      <c r="C76" s="62"/>
      <c r="E76" s="62"/>
      <c r="F76" s="1"/>
      <c r="H76" s="1"/>
      <c r="I76" s="1"/>
      <c r="J76" s="1"/>
      <c r="K76" s="1"/>
      <c r="L76" s="1"/>
      <c r="M76" s="1"/>
      <c r="N76" s="1"/>
      <c r="O76" s="1"/>
      <c r="P76" s="1"/>
    </row>
    <row r="77" spans="2:16" s="74" customFormat="1" x14ac:dyDescent="0.25">
      <c r="B77" s="62"/>
      <c r="C77" s="62"/>
      <c r="E77" s="62"/>
      <c r="F77" s="1"/>
      <c r="H77" s="1"/>
      <c r="I77" s="1"/>
      <c r="J77" s="1"/>
      <c r="K77" s="1"/>
      <c r="L77" s="1"/>
      <c r="M77" s="1"/>
      <c r="N77" s="1"/>
      <c r="O77" s="1"/>
      <c r="P77" s="1"/>
    </row>
    <row r="78" spans="2:16" s="74" customFormat="1" x14ac:dyDescent="0.25">
      <c r="B78" s="62"/>
      <c r="C78" s="62"/>
      <c r="E78" s="62"/>
      <c r="F78" s="1"/>
      <c r="H78" s="1"/>
      <c r="I78" s="1"/>
      <c r="J78" s="1"/>
      <c r="K78" s="1"/>
      <c r="L78" s="1"/>
      <c r="M78" s="1"/>
      <c r="N78" s="1"/>
      <c r="O78" s="1"/>
      <c r="P78" s="1"/>
    </row>
    <row r="79" spans="2:16" s="74" customFormat="1" x14ac:dyDescent="0.25">
      <c r="B79" s="85"/>
      <c r="C79" s="85"/>
      <c r="E79" s="85"/>
      <c r="F79" s="75"/>
      <c r="H79" s="75"/>
      <c r="I79" s="75"/>
      <c r="J79" s="75"/>
      <c r="K79" s="75"/>
      <c r="L79" s="75"/>
      <c r="M79" s="75"/>
      <c r="N79" s="75"/>
      <c r="O79" s="75"/>
      <c r="P79" s="75"/>
    </row>
    <row r="80" spans="2:16" s="74" customFormat="1" x14ac:dyDescent="0.25">
      <c r="F80" s="77"/>
      <c r="H80" s="76"/>
      <c r="I80" s="76"/>
      <c r="J80" s="76"/>
      <c r="K80" s="76"/>
      <c r="L80" s="76"/>
      <c r="M80" s="76"/>
      <c r="N80" s="76"/>
      <c r="O80" s="78"/>
      <c r="P80" s="78"/>
    </row>
    <row r="81" spans="2:16" s="74" customFormat="1" x14ac:dyDescent="0.25">
      <c r="F81" s="77"/>
      <c r="H81" s="76"/>
      <c r="I81" s="76"/>
      <c r="J81" s="76"/>
      <c r="K81" s="76"/>
      <c r="L81" s="76"/>
      <c r="M81" s="76"/>
      <c r="N81" s="76"/>
      <c r="O81" s="78"/>
      <c r="P81" s="78"/>
    </row>
    <row r="82" spans="2:16" s="74" customFormat="1" x14ac:dyDescent="0.25">
      <c r="F82" s="77"/>
      <c r="H82" s="76"/>
      <c r="I82" s="76"/>
      <c r="J82" s="76"/>
      <c r="K82" s="76"/>
      <c r="L82" s="76"/>
      <c r="M82" s="76"/>
      <c r="N82" s="76"/>
      <c r="O82" s="78"/>
      <c r="P82" s="78"/>
    </row>
    <row r="83" spans="2:16" s="74" customFormat="1" x14ac:dyDescent="0.25">
      <c r="F83" s="77"/>
      <c r="H83" s="76"/>
      <c r="I83" s="76"/>
      <c r="J83" s="76"/>
      <c r="K83" s="76"/>
      <c r="L83" s="76"/>
      <c r="M83" s="76"/>
      <c r="N83" s="76"/>
      <c r="O83" s="78"/>
      <c r="P83" s="78"/>
    </row>
    <row r="84" spans="2:16" s="74" customFormat="1" x14ac:dyDescent="0.25">
      <c r="F84" s="77"/>
      <c r="H84" s="76"/>
      <c r="I84" s="76"/>
      <c r="J84" s="76"/>
      <c r="K84" s="76"/>
      <c r="L84" s="76"/>
      <c r="M84" s="76"/>
      <c r="N84" s="76"/>
      <c r="O84" s="78"/>
      <c r="P84" s="78"/>
    </row>
    <row r="85" spans="2:16" s="74" customFormat="1" x14ac:dyDescent="0.25">
      <c r="F85" s="77"/>
      <c r="H85" s="76"/>
      <c r="I85" s="76"/>
      <c r="J85" s="76"/>
      <c r="K85" s="76"/>
      <c r="L85" s="76"/>
      <c r="M85" s="76"/>
      <c r="N85" s="76"/>
      <c r="O85" s="78"/>
      <c r="P85" s="78"/>
    </row>
    <row r="90" spans="2:16" x14ac:dyDescent="0.25">
      <c r="B90" s="74"/>
      <c r="E90" s="74"/>
    </row>
  </sheetData>
  <sheetProtection algorithmName="SHA-512" hashValue="73lZfhOqtGsMWbxOXS8y4ZgulT21033Ta7rrxbzLV65JEbBGChNcXqTGJDkUCGHVuaXMsN5oGu7F7sITGijRdQ==" saltValue="RzlbRIw4Ytvdj3X5IcipNg==" spinCount="100000" sheet="1" objects="1" scenarios="1" selectLockedCells="1" selectUnlockedCells="1"/>
  <mergeCells count="7">
    <mergeCell ref="B6:P6"/>
    <mergeCell ref="B15:P15"/>
    <mergeCell ref="C30:E30"/>
    <mergeCell ref="C8:D8"/>
    <mergeCell ref="F8:G8"/>
    <mergeCell ref="I8:L8"/>
    <mergeCell ref="N8:O8"/>
  </mergeCells>
  <conditionalFormatting sqref="P38">
    <cfRule type="cellIs" dxfId="11" priority="4" operator="lessThan">
      <formula>0</formula>
    </cfRule>
  </conditionalFormatting>
  <conditionalFormatting sqref="P62">
    <cfRule type="cellIs" dxfId="10" priority="3" operator="lessThan">
      <formula>0</formula>
    </cfRule>
  </conditionalFormatting>
  <conditionalFormatting sqref="B7:C7 E7:F7 H7:P7 B6">
    <cfRule type="containsText" dxfId="9" priority="2" operator="containsText" text="KO">
      <formula>NOT(ISERROR(SEARCH("KO",B6)))</formula>
    </cfRule>
  </conditionalFormatting>
  <conditionalFormatting sqref="B15:B16">
    <cfRule type="containsText" dxfId="8" priority="1" operator="containsText" text="KO">
      <formula>NOT(ISERROR(SEARCH("KO",B15)))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D3A5E126-4486-4172-BF26-BEA15BD5DB99}">
          <x14:formula1>
            <xm:f>Input!$H$2:$H$4</xm:f>
          </x14:formula1>
          <xm:sqref>J37:L37</xm:sqref>
        </x14:dataValidation>
        <x14:dataValidation type="list" allowBlank="1" showInputMessage="1" showErrorMessage="1" xr:uid="{967F017C-6C60-49EC-885A-2316DA2021C9}">
          <x14:formula1>
            <xm:f>Input!$J$2:$J$3</xm:f>
          </x14:formula1>
          <xm:sqref>N40 N64</xm:sqref>
        </x14:dataValidation>
        <x14:dataValidation type="list" allowBlank="1" showInputMessage="1" showErrorMessage="1" xr:uid="{7A759D37-87BB-48E1-AAA9-C44EE40F874A}">
          <x14:formula1>
            <xm:f>Input!$E$2:$E$4</xm:f>
          </x14:formula1>
          <xm:sqref>P63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3E64B-6547-4076-9845-35230441B317}">
  <sheetPr>
    <tabColor theme="7" tint="0.39997558519241921"/>
  </sheetPr>
  <dimension ref="A1:U90"/>
  <sheetViews>
    <sheetView topLeftCell="D1" zoomScale="76" zoomScaleNormal="130" workbookViewId="0">
      <selection activeCell="B15" sqref="B15:P15"/>
    </sheetView>
  </sheetViews>
  <sheetFormatPr defaultColWidth="8.7109375" defaultRowHeight="15" x14ac:dyDescent="0.25"/>
  <cols>
    <col min="1" max="1" width="1.42578125" style="16" customWidth="1"/>
    <col min="2" max="2" width="15.140625" style="16" customWidth="1"/>
    <col min="3" max="3" width="21.7109375" style="16" customWidth="1"/>
    <col min="4" max="4" width="9.28515625" style="16" customWidth="1"/>
    <col min="5" max="5" width="16.140625" style="16" customWidth="1"/>
    <col min="6" max="7" width="16.42578125" style="16" customWidth="1"/>
    <col min="8" max="8" width="16.140625" style="16" customWidth="1"/>
    <col min="9" max="9" width="20.5703125" style="16" customWidth="1"/>
    <col min="10" max="10" width="17.140625" style="16" customWidth="1"/>
    <col min="11" max="11" width="18.7109375" style="16" customWidth="1"/>
    <col min="12" max="13" width="16.140625" style="16" customWidth="1"/>
    <col min="14" max="14" width="21.85546875" style="16" customWidth="1"/>
    <col min="15" max="15" width="16.140625" style="16" customWidth="1"/>
    <col min="16" max="16" width="15.85546875" style="16" customWidth="1"/>
    <col min="17" max="17" width="21.5703125" style="91" bestFit="1" customWidth="1"/>
    <col min="18" max="18" width="18.140625" style="91" bestFit="1" customWidth="1"/>
    <col min="19" max="21" width="8.7109375" style="91"/>
    <col min="22" max="16384" width="8.7109375" style="16"/>
  </cols>
  <sheetData>
    <row r="1" spans="1:21" s="15" customFormat="1" x14ac:dyDescent="0.25">
      <c r="Q1" s="86"/>
      <c r="R1" s="86"/>
      <c r="S1" s="86"/>
      <c r="T1" s="86"/>
      <c r="U1" s="86"/>
    </row>
    <row r="2" spans="1:21" s="15" customFormat="1" x14ac:dyDescent="0.25">
      <c r="Q2" s="86"/>
      <c r="R2" s="86"/>
      <c r="S2" s="86"/>
      <c r="T2" s="86"/>
      <c r="U2" s="86"/>
    </row>
    <row r="3" spans="1:21" s="15" customFormat="1" x14ac:dyDescent="0.25">
      <c r="Q3" s="86"/>
      <c r="R3" s="86"/>
      <c r="S3" s="86"/>
      <c r="T3" s="86"/>
      <c r="U3" s="86"/>
    </row>
    <row r="4" spans="1:21" s="15" customFormat="1" x14ac:dyDescent="0.25">
      <c r="Q4" s="86"/>
      <c r="R4" s="86"/>
      <c r="S4" s="86"/>
      <c r="T4" s="86"/>
      <c r="U4" s="86"/>
    </row>
    <row r="5" spans="1:21" s="15" customFormat="1" ht="9.9499999999999993" customHeight="1" thickBot="1" x14ac:dyDescent="0.3">
      <c r="Q5" s="86"/>
      <c r="R5" s="86"/>
      <c r="S5" s="86"/>
      <c r="T5" s="86"/>
      <c r="U5" s="86"/>
    </row>
    <row r="6" spans="1:21" s="15" customFormat="1" ht="27.6" customHeight="1" thickBot="1" x14ac:dyDescent="0.3">
      <c r="B6" s="124" t="s">
        <v>31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6"/>
      <c r="Q6" s="86"/>
      <c r="R6" s="86"/>
      <c r="S6" s="86"/>
      <c r="T6" s="86"/>
      <c r="U6" s="86"/>
    </row>
    <row r="7" spans="1:21" s="15" customFormat="1" ht="8.1" customHeight="1" thickBot="1" x14ac:dyDescent="0.3">
      <c r="A7" s="16"/>
      <c r="B7" s="17"/>
      <c r="C7" s="17"/>
      <c r="D7" s="16"/>
      <c r="E7" s="17"/>
      <c r="F7" s="17"/>
      <c r="G7" s="16"/>
      <c r="H7" s="17"/>
      <c r="I7" s="17"/>
      <c r="J7" s="17"/>
      <c r="K7" s="17"/>
      <c r="L7" s="17"/>
      <c r="M7" s="17"/>
      <c r="N7" s="17"/>
      <c r="O7" s="17"/>
      <c r="P7" s="17"/>
      <c r="Q7" s="86"/>
      <c r="R7" s="86"/>
      <c r="S7" s="86"/>
      <c r="T7" s="86"/>
      <c r="U7" s="86"/>
    </row>
    <row r="8" spans="1:21" ht="16.5" thickBot="1" x14ac:dyDescent="0.3">
      <c r="C8" s="129" t="s">
        <v>42</v>
      </c>
      <c r="D8" s="130"/>
      <c r="E8" s="18"/>
      <c r="F8" s="129" t="s">
        <v>14</v>
      </c>
      <c r="G8" s="130"/>
      <c r="I8" s="129" t="s">
        <v>48</v>
      </c>
      <c r="J8" s="131"/>
      <c r="K8" s="131"/>
      <c r="L8" s="130"/>
      <c r="M8" s="19"/>
      <c r="N8" s="129" t="s">
        <v>55</v>
      </c>
      <c r="O8" s="130"/>
      <c r="P8" s="20"/>
      <c r="Q8" s="10"/>
      <c r="R8" s="87"/>
      <c r="S8" s="10"/>
      <c r="T8" s="87"/>
      <c r="U8" s="88"/>
    </row>
    <row r="9" spans="1:21" ht="27.6" customHeight="1" x14ac:dyDescent="0.25">
      <c r="C9" s="21" t="s">
        <v>45</v>
      </c>
      <c r="D9" s="22">
        <f>Sintesi!C11</f>
        <v>4.6399999999999997E-2</v>
      </c>
      <c r="F9" s="21" t="s">
        <v>46</v>
      </c>
      <c r="G9" s="23" t="str">
        <f>+Sintesi!C10</f>
        <v>Inserimento mercati esteri</v>
      </c>
      <c r="I9" s="24" t="s">
        <v>63</v>
      </c>
      <c r="J9" s="25">
        <f>+L9-J11</f>
        <v>900000</v>
      </c>
      <c r="K9" s="26" t="s">
        <v>62</v>
      </c>
      <c r="L9" s="27">
        <f>+Sintesi!C7</f>
        <v>1000000</v>
      </c>
      <c r="M9" s="28"/>
      <c r="N9" s="29" t="s">
        <v>52</v>
      </c>
      <c r="O9" s="7">
        <v>200000</v>
      </c>
      <c r="P9" s="20"/>
      <c r="Q9" s="88"/>
      <c r="R9" s="89"/>
      <c r="S9" s="90"/>
    </row>
    <row r="10" spans="1:21" ht="22.5" customHeight="1" thickBot="1" x14ac:dyDescent="0.3">
      <c r="C10" s="32" t="s">
        <v>43</v>
      </c>
      <c r="D10" s="33">
        <f>+D9*L10</f>
        <v>4.64E-3</v>
      </c>
      <c r="F10" s="34" t="s">
        <v>47</v>
      </c>
      <c r="G10" s="35" t="str">
        <f>VLOOKUP(Sintesi!C10,Input!M2:N7,2,FALSE)</f>
        <v>IM</v>
      </c>
      <c r="I10" s="32" t="s">
        <v>49</v>
      </c>
      <c r="J10" s="36">
        <f>IF(G10="IM",SUM(N18:N29)-SUM(N20:N21),SUM(N18:N29))/((1+D9)^0.5)</f>
        <v>139069.85190668306</v>
      </c>
      <c r="K10" s="9" t="s">
        <v>50</v>
      </c>
      <c r="L10" s="37">
        <f>+Sintesi!C12</f>
        <v>0.1</v>
      </c>
      <c r="M10" s="38"/>
      <c r="N10" s="39" t="s">
        <v>56</v>
      </c>
      <c r="O10" s="8">
        <f>+O9-J10-J11</f>
        <v>-39069.851906683063</v>
      </c>
      <c r="P10" s="30"/>
      <c r="Q10" s="90"/>
      <c r="R10" s="89"/>
      <c r="S10" s="90"/>
      <c r="T10" s="89"/>
      <c r="U10" s="90"/>
    </row>
    <row r="11" spans="1:21" ht="27" customHeight="1" thickBot="1" x14ac:dyDescent="0.3">
      <c r="C11" s="34" t="s">
        <v>44</v>
      </c>
      <c r="D11" s="40">
        <f>D9+VLOOKUP(S20,Input!A1:B5,2,0)/100</f>
        <v>5.8399999999999994E-2</v>
      </c>
      <c r="F11" s="41"/>
      <c r="G11" s="42"/>
      <c r="H11" s="43"/>
      <c r="I11" s="32" t="s">
        <v>8</v>
      </c>
      <c r="J11" s="36">
        <f>IF(J12="No",0,MIN(L9*L11,100000))</f>
        <v>100000</v>
      </c>
      <c r="K11" s="9" t="s">
        <v>51</v>
      </c>
      <c r="L11" s="6">
        <v>0.1</v>
      </c>
      <c r="M11" s="5"/>
      <c r="N11" s="44" t="s">
        <v>64</v>
      </c>
      <c r="O11" s="45" t="str">
        <f>+Input!E3</f>
        <v>3; 4; 5</v>
      </c>
      <c r="P11" s="30"/>
      <c r="Q11" s="90"/>
      <c r="R11" s="89"/>
      <c r="S11" s="90"/>
    </row>
    <row r="12" spans="1:21" s="15" customFormat="1" ht="20.45" customHeight="1" thickBot="1" x14ac:dyDescent="0.3">
      <c r="B12" s="16"/>
      <c r="C12" s="16"/>
      <c r="G12" s="16"/>
      <c r="I12" s="46" t="s">
        <v>18</v>
      </c>
      <c r="J12" s="47" t="str">
        <f>VLOOKUP(Sintesi!C8,Input!J2:K3,2,FALSE)</f>
        <v>Sì</v>
      </c>
      <c r="K12" s="48" t="s">
        <v>65</v>
      </c>
      <c r="L12" s="49" t="s">
        <v>65</v>
      </c>
      <c r="M12" s="50"/>
      <c r="N12" s="16"/>
      <c r="O12" s="51"/>
      <c r="Q12" s="86"/>
      <c r="R12" s="86"/>
      <c r="S12" s="86"/>
      <c r="T12" s="86"/>
      <c r="U12" s="86"/>
    </row>
    <row r="13" spans="1:21" s="15" customFormat="1" ht="8.4499999999999993" customHeight="1" x14ac:dyDescent="0.25">
      <c r="B13" s="16"/>
      <c r="C13" s="16"/>
      <c r="H13" s="52"/>
      <c r="I13" s="53"/>
      <c r="J13" s="54"/>
      <c r="K13" s="54"/>
      <c r="L13" s="54"/>
      <c r="N13" s="51"/>
      <c r="Q13" s="86"/>
      <c r="R13" s="86"/>
      <c r="S13" s="86"/>
      <c r="T13" s="86"/>
      <c r="U13" s="86"/>
    </row>
    <row r="14" spans="1:21" s="15" customFormat="1" ht="15.75" thickBot="1" x14ac:dyDescent="0.3">
      <c r="B14" s="16"/>
      <c r="C14" s="16"/>
      <c r="H14" s="52"/>
      <c r="I14" s="53"/>
      <c r="J14" s="54"/>
      <c r="K14" s="54"/>
      <c r="L14" s="54"/>
      <c r="N14" s="51"/>
      <c r="Q14" s="86"/>
      <c r="R14" s="86"/>
      <c r="S14" s="86"/>
      <c r="T14" s="86"/>
      <c r="U14" s="86"/>
    </row>
    <row r="15" spans="1:21" s="15" customFormat="1" ht="27.6" customHeight="1" thickBot="1" x14ac:dyDescent="0.3">
      <c r="B15" s="124" t="s">
        <v>53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  <c r="Q15" s="86"/>
      <c r="R15" s="86"/>
      <c r="S15" s="86"/>
      <c r="T15" s="86"/>
      <c r="U15" s="86"/>
    </row>
    <row r="16" spans="1:21" s="15" customFormat="1" ht="9.6" customHeight="1" thickBot="1" x14ac:dyDescent="0.3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  <c r="P16" s="55"/>
      <c r="Q16" s="86"/>
      <c r="R16" s="86"/>
      <c r="S16" s="86"/>
      <c r="T16" s="86"/>
      <c r="U16" s="86"/>
    </row>
    <row r="17" spans="2:21" s="57" customFormat="1" ht="40.5" customHeight="1" x14ac:dyDescent="0.25">
      <c r="C17" s="58" t="s">
        <v>37</v>
      </c>
      <c r="D17" s="58" t="s">
        <v>5</v>
      </c>
      <c r="E17" s="58" t="s">
        <v>54</v>
      </c>
      <c r="F17" s="58" t="s">
        <v>36</v>
      </c>
      <c r="G17" s="58" t="s">
        <v>4</v>
      </c>
      <c r="H17" s="59" t="s">
        <v>57</v>
      </c>
      <c r="I17" s="59" t="s">
        <v>58</v>
      </c>
      <c r="J17" s="59" t="s">
        <v>59</v>
      </c>
      <c r="K17" s="59" t="s">
        <v>60</v>
      </c>
      <c r="L17" s="59" t="s">
        <v>61</v>
      </c>
      <c r="M17" s="58" t="s">
        <v>6</v>
      </c>
      <c r="N17" s="60" t="s">
        <v>66</v>
      </c>
      <c r="Q17" s="92"/>
      <c r="R17" s="92"/>
      <c r="S17" s="92"/>
      <c r="T17" s="93"/>
      <c r="U17" s="93"/>
    </row>
    <row r="18" spans="2:21" x14ac:dyDescent="0.25">
      <c r="C18" s="61">
        <v>1</v>
      </c>
      <c r="D18" s="62">
        <f t="shared" ref="D18:D29" si="0">IF(E18="Preamm",0,D17+1)</f>
        <v>0</v>
      </c>
      <c r="E18" s="62" t="str">
        <f>IF(C18&lt;=$Q$19,(IF(C18&lt;=$Q$20,"Preamm","Amm")),"-")</f>
        <v>Preamm</v>
      </c>
      <c r="F18" s="63">
        <f t="shared" ref="F18:F25" si="1">-IF(E18="","",IF(E18="Preamm",0,(PMT($D$9,$Q$18,$J$9,0,0))))</f>
        <v>0</v>
      </c>
      <c r="G18" s="63">
        <f t="shared" ref="G18:G29" si="2">IF(F18=0,0,$J$9/$Q$18)</f>
        <v>0</v>
      </c>
      <c r="H18" s="63">
        <f t="shared" ref="H18:H29" si="3">IF(E18="","",IF(D18=0,($J$9*($D$10/2)),-IPMT($D$10/2,D18,$Q$18,$J$9,0,0)))</f>
        <v>2088</v>
      </c>
      <c r="I18" s="63">
        <f t="shared" ref="I18:I29" si="4">IF(E18="","",IF(D18=0,($J$9*($D$9/2)),-IPMT($D$9/2,D18,$Q$18,$J$9,0,0)))</f>
        <v>20880</v>
      </c>
      <c r="J18" s="63">
        <f t="shared" ref="J18:J29" si="5">IF(E18="","",IF(D18=0,($J$9*($D$11/2)),-IPMT($D$11/2,D18,$Q$18,$J$9,0,0)))</f>
        <v>26279.999999999996</v>
      </c>
      <c r="K18" s="63">
        <f>IF(G18=0,0,G18)</f>
        <v>0</v>
      </c>
      <c r="L18" s="94">
        <f>$J$9-K18</f>
        <v>900000</v>
      </c>
      <c r="M18" s="63">
        <f>IF(H18="","",J18-H18)</f>
        <v>24191.999999999996</v>
      </c>
      <c r="N18" s="64">
        <f t="shared" ref="N18:N29" si="6">IF(M18="","",M18/((1+$D$9)^(C18/2)))</f>
        <v>23649.551463054635</v>
      </c>
      <c r="P18" s="65" t="s">
        <v>1</v>
      </c>
      <c r="Q18" s="66">
        <f>+Q19-Q20</f>
        <v>8</v>
      </c>
      <c r="R18" s="67"/>
      <c r="S18" s="68"/>
    </row>
    <row r="19" spans="2:21" x14ac:dyDescent="0.25">
      <c r="C19" s="61">
        <v>2</v>
      </c>
      <c r="D19" s="62">
        <f t="shared" si="0"/>
        <v>0</v>
      </c>
      <c r="E19" s="62" t="str">
        <f t="shared" ref="E19:E29" si="7">IF(C19&lt;=$Q$19,(IF(C19&lt;=$Q$20,"Preamm","Amm")),"")</f>
        <v>Preamm</v>
      </c>
      <c r="F19" s="63">
        <f t="shared" si="1"/>
        <v>0</v>
      </c>
      <c r="G19" s="63">
        <f t="shared" si="2"/>
        <v>0</v>
      </c>
      <c r="H19" s="63">
        <f t="shared" si="3"/>
        <v>2088</v>
      </c>
      <c r="I19" s="63">
        <f t="shared" si="4"/>
        <v>20880</v>
      </c>
      <c r="J19" s="63">
        <f t="shared" si="5"/>
        <v>26279.999999999996</v>
      </c>
      <c r="K19" s="63">
        <f t="shared" ref="K19:K29" si="8">+K18+G19</f>
        <v>0</v>
      </c>
      <c r="L19" s="63">
        <f t="shared" ref="L19:L29" si="9">$J$9-K19</f>
        <v>900000</v>
      </c>
      <c r="M19" s="63">
        <f t="shared" ref="M19:M29" si="10">IF(H19="","",J19-H19)</f>
        <v>24191.999999999996</v>
      </c>
      <c r="N19" s="64">
        <f t="shared" si="6"/>
        <v>23119.266055045868</v>
      </c>
      <c r="P19" s="67" t="s">
        <v>9</v>
      </c>
      <c r="Q19" s="68">
        <f>VLOOKUP(G9,Input!$M$2:$O$7,3,0)</f>
        <v>12</v>
      </c>
      <c r="R19" s="67" t="s">
        <v>2</v>
      </c>
      <c r="S19" s="68">
        <v>360</v>
      </c>
    </row>
    <row r="20" spans="2:21" x14ac:dyDescent="0.25">
      <c r="C20" s="61">
        <v>3</v>
      </c>
      <c r="D20" s="62">
        <f t="shared" si="0"/>
        <v>0</v>
      </c>
      <c r="E20" s="62" t="str">
        <f t="shared" si="7"/>
        <v>Preamm</v>
      </c>
      <c r="F20" s="63">
        <f t="shared" si="1"/>
        <v>0</v>
      </c>
      <c r="G20" s="63">
        <f t="shared" si="2"/>
        <v>0</v>
      </c>
      <c r="H20" s="63">
        <f t="shared" si="3"/>
        <v>2088</v>
      </c>
      <c r="I20" s="63">
        <f t="shared" si="4"/>
        <v>20880</v>
      </c>
      <c r="J20" s="63">
        <f t="shared" si="5"/>
        <v>26279.999999999996</v>
      </c>
      <c r="K20" s="63">
        <f t="shared" si="8"/>
        <v>0</v>
      </c>
      <c r="L20" s="63">
        <f t="shared" si="9"/>
        <v>900000</v>
      </c>
      <c r="M20" s="63">
        <f t="shared" si="10"/>
        <v>24191.999999999996</v>
      </c>
      <c r="N20" s="64">
        <f t="shared" si="6"/>
        <v>22600.871046497166</v>
      </c>
      <c r="P20" s="67" t="s">
        <v>0</v>
      </c>
      <c r="Q20" s="68">
        <f>VLOOKUP(G9,Input!$M$2:$P$7,4,0)</f>
        <v>4</v>
      </c>
      <c r="R20" s="67" t="s">
        <v>3</v>
      </c>
      <c r="S20" s="68">
        <f>VLOOKUP(O11,Input!$E$2:$F$4,2,0)</f>
        <v>2</v>
      </c>
    </row>
    <row r="21" spans="2:21" x14ac:dyDescent="0.25">
      <c r="C21" s="61">
        <v>4</v>
      </c>
      <c r="D21" s="62">
        <f t="shared" si="0"/>
        <v>0</v>
      </c>
      <c r="E21" s="62" t="str">
        <f t="shared" si="7"/>
        <v>Preamm</v>
      </c>
      <c r="F21" s="63">
        <f t="shared" si="1"/>
        <v>0</v>
      </c>
      <c r="G21" s="63">
        <f t="shared" si="2"/>
        <v>0</v>
      </c>
      <c r="H21" s="63">
        <f t="shared" si="3"/>
        <v>2088</v>
      </c>
      <c r="I21" s="63">
        <f t="shared" si="4"/>
        <v>20880</v>
      </c>
      <c r="J21" s="63">
        <f t="shared" si="5"/>
        <v>26279.999999999996</v>
      </c>
      <c r="K21" s="63">
        <f t="shared" si="8"/>
        <v>0</v>
      </c>
      <c r="L21" s="63">
        <f t="shared" si="9"/>
        <v>900000</v>
      </c>
      <c r="M21" s="63">
        <f t="shared" si="10"/>
        <v>24191.999999999996</v>
      </c>
      <c r="N21" s="64">
        <f t="shared" si="6"/>
        <v>22094.099823247197</v>
      </c>
      <c r="Q21" s="95"/>
      <c r="R21" s="95"/>
      <c r="S21" s="95"/>
    </row>
    <row r="22" spans="2:21" x14ac:dyDescent="0.25">
      <c r="C22" s="61">
        <v>5</v>
      </c>
      <c r="D22" s="62">
        <f t="shared" si="0"/>
        <v>1</v>
      </c>
      <c r="E22" s="62" t="str">
        <f t="shared" si="7"/>
        <v>Amm</v>
      </c>
      <c r="F22" s="63">
        <f t="shared" si="1"/>
        <v>137230.21161265139</v>
      </c>
      <c r="G22" s="63">
        <f t="shared" si="2"/>
        <v>112500</v>
      </c>
      <c r="H22" s="63">
        <f t="shared" si="3"/>
        <v>2088</v>
      </c>
      <c r="I22" s="63">
        <f t="shared" si="4"/>
        <v>20880</v>
      </c>
      <c r="J22" s="63">
        <f t="shared" si="5"/>
        <v>26279.999999999996</v>
      </c>
      <c r="K22" s="63">
        <f t="shared" si="8"/>
        <v>112500</v>
      </c>
      <c r="L22" s="63">
        <f t="shared" si="9"/>
        <v>787500</v>
      </c>
      <c r="M22" s="63">
        <f t="shared" si="10"/>
        <v>24191.999999999996</v>
      </c>
      <c r="N22" s="64">
        <f t="shared" si="6"/>
        <v>21598.691749328329</v>
      </c>
    </row>
    <row r="23" spans="2:21" x14ac:dyDescent="0.25">
      <c r="C23" s="61">
        <v>6</v>
      </c>
      <c r="D23" s="62">
        <f t="shared" si="0"/>
        <v>2</v>
      </c>
      <c r="E23" s="62" t="str">
        <f t="shared" si="7"/>
        <v>Amm</v>
      </c>
      <c r="F23" s="63">
        <f t="shared" si="1"/>
        <v>137230.21161265139</v>
      </c>
      <c r="G23" s="63">
        <f t="shared" si="2"/>
        <v>112500</v>
      </c>
      <c r="H23" s="63">
        <f t="shared" si="3"/>
        <v>1829.1119533513167</v>
      </c>
      <c r="I23" s="63">
        <f t="shared" si="4"/>
        <v>18474.645169917269</v>
      </c>
      <c r="J23" s="63">
        <f t="shared" si="5"/>
        <v>23316.245749319089</v>
      </c>
      <c r="K23" s="63">
        <f t="shared" si="8"/>
        <v>225000</v>
      </c>
      <c r="L23" s="63">
        <f t="shared" si="9"/>
        <v>675000</v>
      </c>
      <c r="M23" s="63">
        <f t="shared" si="10"/>
        <v>21487.133795967773</v>
      </c>
      <c r="N23" s="64">
        <f t="shared" si="6"/>
        <v>18753.627919637158</v>
      </c>
    </row>
    <row r="24" spans="2:21" x14ac:dyDescent="0.25">
      <c r="C24" s="61">
        <v>7</v>
      </c>
      <c r="D24" s="62">
        <f t="shared" si="0"/>
        <v>3</v>
      </c>
      <c r="E24" s="62" t="str">
        <f t="shared" si="7"/>
        <v>Amm</v>
      </c>
      <c r="F24" s="63">
        <f t="shared" si="1"/>
        <v>137230.21161265139</v>
      </c>
      <c r="G24" s="63">
        <f t="shared" si="2"/>
        <v>112500</v>
      </c>
      <c r="H24" s="63">
        <f t="shared" si="3"/>
        <v>1569.6232864344086</v>
      </c>
      <c r="I24" s="63">
        <f t="shared" si="4"/>
        <v>16013.48610777662</v>
      </c>
      <c r="J24" s="63">
        <f t="shared" si="5"/>
        <v>20265.949874518297</v>
      </c>
      <c r="K24" s="63">
        <f t="shared" si="8"/>
        <v>337500</v>
      </c>
      <c r="L24" s="63">
        <f t="shared" si="9"/>
        <v>562500</v>
      </c>
      <c r="M24" s="63">
        <f t="shared" si="10"/>
        <v>18696.326588083888</v>
      </c>
      <c r="N24" s="64">
        <f t="shared" si="6"/>
        <v>15951.966439925369</v>
      </c>
    </row>
    <row r="25" spans="2:21" x14ac:dyDescent="0.25">
      <c r="C25" s="61">
        <v>8</v>
      </c>
      <c r="D25" s="62">
        <f t="shared" si="0"/>
        <v>4</v>
      </c>
      <c r="E25" s="62" t="str">
        <f t="shared" si="7"/>
        <v>Amm</v>
      </c>
      <c r="F25" s="63">
        <f t="shared" si="1"/>
        <v>137230.21161265139</v>
      </c>
      <c r="G25" s="63">
        <f t="shared" si="2"/>
        <v>112500</v>
      </c>
      <c r="H25" s="63">
        <f t="shared" si="3"/>
        <v>1309.5326058102532</v>
      </c>
      <c r="I25" s="63">
        <f t="shared" si="4"/>
        <v>13495.228155394314</v>
      </c>
      <c r="J25" s="63">
        <f t="shared" si="5"/>
        <v>17126.585360173329</v>
      </c>
      <c r="K25" s="63">
        <f t="shared" si="8"/>
        <v>450000</v>
      </c>
      <c r="L25" s="63">
        <f t="shared" si="9"/>
        <v>450000</v>
      </c>
      <c r="M25" s="63">
        <f t="shared" si="10"/>
        <v>15817.052754363076</v>
      </c>
      <c r="N25" s="64">
        <f t="shared" si="6"/>
        <v>13192.728932626758</v>
      </c>
    </row>
    <row r="26" spans="2:21" x14ac:dyDescent="0.25">
      <c r="C26" s="61">
        <v>9</v>
      </c>
      <c r="D26" s="62">
        <f t="shared" si="0"/>
        <v>5</v>
      </c>
      <c r="E26" s="62" t="str">
        <f t="shared" si="7"/>
        <v>Amm</v>
      </c>
      <c r="F26" s="63">
        <f>-IF(E26="",0,IF(E26="Preamm",0,(PMT($D$9,$Q$18,$J$9,0,0))))</f>
        <v>137230.21161265139</v>
      </c>
      <c r="G26" s="63">
        <f t="shared" si="2"/>
        <v>112500</v>
      </c>
      <c r="H26" s="63">
        <f t="shared" si="3"/>
        <v>1048.8385148070495</v>
      </c>
      <c r="I26" s="63">
        <f t="shared" si="4"/>
        <v>10918.546618516733</v>
      </c>
      <c r="J26" s="63">
        <f t="shared" si="5"/>
        <v>13895.551402009483</v>
      </c>
      <c r="K26" s="63">
        <f t="shared" si="8"/>
        <v>562500</v>
      </c>
      <c r="L26" s="63">
        <f t="shared" si="9"/>
        <v>337500</v>
      </c>
      <c r="M26" s="63">
        <f t="shared" si="10"/>
        <v>12846.712887202433</v>
      </c>
      <c r="N26" s="64">
        <f t="shared" si="6"/>
        <v>10474.956514405718</v>
      </c>
    </row>
    <row r="27" spans="2:21" x14ac:dyDescent="0.25">
      <c r="C27" s="61">
        <v>10</v>
      </c>
      <c r="D27" s="62">
        <f t="shared" si="0"/>
        <v>6</v>
      </c>
      <c r="E27" s="62" t="str">
        <f t="shared" si="7"/>
        <v>Amm</v>
      </c>
      <c r="F27" s="63">
        <f>-IF(E27="",0,IF(E27="Preamm",0,(PMT($D$9,$Q$18,$J$9,0,0))))</f>
        <v>137230.21161265139</v>
      </c>
      <c r="G27" s="63">
        <f t="shared" si="2"/>
        <v>112500</v>
      </c>
      <c r="H27" s="63">
        <f t="shared" si="3"/>
        <v>787.53961351271846</v>
      </c>
      <c r="I27" s="63">
        <f t="shared" si="4"/>
        <v>8282.0860699835939</v>
      </c>
      <c r="J27" s="63">
        <f t="shared" si="5"/>
        <v>10570.171252267253</v>
      </c>
      <c r="K27" s="63">
        <f t="shared" si="8"/>
        <v>675000</v>
      </c>
      <c r="L27" s="63">
        <f t="shared" si="9"/>
        <v>225000</v>
      </c>
      <c r="M27" s="63">
        <f t="shared" si="10"/>
        <v>9782.6316387545339</v>
      </c>
      <c r="N27" s="64">
        <f t="shared" si="6"/>
        <v>7797.7093926940297</v>
      </c>
    </row>
    <row r="28" spans="2:21" x14ac:dyDescent="0.25">
      <c r="C28" s="61">
        <v>11</v>
      </c>
      <c r="D28" s="62">
        <f t="shared" si="0"/>
        <v>7</v>
      </c>
      <c r="E28" s="62" t="str">
        <f t="shared" si="7"/>
        <v>Amm</v>
      </c>
      <c r="F28" s="63">
        <f>-IF(E28="",0,IF(E28="Preamm",0,(PMT($D$9,$Q$18,$J$9,0,0))))</f>
        <v>137230.21161265139</v>
      </c>
      <c r="G28" s="63">
        <f t="shared" si="2"/>
        <v>112500</v>
      </c>
      <c r="H28" s="63">
        <f t="shared" si="3"/>
        <v>525.63449876738468</v>
      </c>
      <c r="I28" s="63">
        <f t="shared" si="4"/>
        <v>5584.4596367244858</v>
      </c>
      <c r="J28" s="63">
        <f t="shared" si="5"/>
        <v>7147.6900021525516</v>
      </c>
      <c r="K28" s="63">
        <f t="shared" si="8"/>
        <v>787500</v>
      </c>
      <c r="L28" s="63">
        <f t="shared" si="9"/>
        <v>112500</v>
      </c>
      <c r="M28" s="63">
        <f t="shared" si="10"/>
        <v>6622.055503385167</v>
      </c>
      <c r="N28" s="64">
        <f t="shared" si="6"/>
        <v>5160.0664705006629</v>
      </c>
    </row>
    <row r="29" spans="2:21" x14ac:dyDescent="0.25">
      <c r="C29" s="61">
        <v>12</v>
      </c>
      <c r="D29" s="62">
        <f t="shared" si="0"/>
        <v>8</v>
      </c>
      <c r="E29" s="62" t="str">
        <f t="shared" si="7"/>
        <v>Amm</v>
      </c>
      <c r="F29" s="63">
        <f>-IF(E29="",0,IF(E29="Preamm",0,(PMT($D$9,$Q$18,$J$9,0,0))))</f>
        <v>137230.21161265139</v>
      </c>
      <c r="G29" s="63">
        <f t="shared" si="2"/>
        <v>112500</v>
      </c>
      <c r="H29" s="63">
        <f t="shared" si="3"/>
        <v>263.12176415584179</v>
      </c>
      <c r="I29" s="63">
        <f t="shared" si="4"/>
        <v>2824.2482702137677</v>
      </c>
      <c r="J29" s="63">
        <f t="shared" si="5"/>
        <v>3625.2722995344989</v>
      </c>
      <c r="K29" s="63">
        <f t="shared" si="8"/>
        <v>900000</v>
      </c>
      <c r="L29" s="63">
        <f t="shared" si="9"/>
        <v>0</v>
      </c>
      <c r="M29" s="63">
        <f t="shared" si="10"/>
        <v>3362.150535378657</v>
      </c>
      <c r="N29" s="64">
        <f t="shared" si="6"/>
        <v>2561.1249593240564</v>
      </c>
    </row>
    <row r="30" spans="2:21" s="69" customFormat="1" ht="20.45" customHeight="1" thickBot="1" x14ac:dyDescent="0.3">
      <c r="C30" s="127" t="s">
        <v>67</v>
      </c>
      <c r="D30" s="128"/>
      <c r="E30" s="128"/>
      <c r="F30" s="70">
        <f>SUM(F18:F29)</f>
        <v>1097841.6929012111</v>
      </c>
      <c r="G30" s="71">
        <f>SUM(G18:G29)</f>
        <v>900000</v>
      </c>
      <c r="H30" s="71">
        <f>SUM(H18:H29)</f>
        <v>17773.402236838974</v>
      </c>
      <c r="I30" s="71">
        <f>SUM(I18:I29)</f>
        <v>179992.7000285268</v>
      </c>
      <c r="J30" s="71">
        <f>SUM(J18:J29)</f>
        <v>227347.46593997447</v>
      </c>
      <c r="K30" s="71"/>
      <c r="L30" s="72"/>
      <c r="M30" s="71">
        <f t="shared" ref="M30:N30" si="11">SUM(M18:M29)</f>
        <v>209574.06370313553</v>
      </c>
      <c r="N30" s="73">
        <f t="shared" si="11"/>
        <v>186954.66076628692</v>
      </c>
      <c r="Q30" s="96"/>
      <c r="R30" s="96"/>
      <c r="S30" s="96"/>
      <c r="T30" s="96"/>
      <c r="U30" s="96"/>
    </row>
    <row r="31" spans="2:21" s="74" customFormat="1" x14ac:dyDescent="0.25">
      <c r="B31" s="20"/>
      <c r="C31" s="20"/>
      <c r="E31" s="20"/>
      <c r="F31" s="75"/>
      <c r="H31" s="76"/>
      <c r="I31" s="75"/>
      <c r="J31" s="75"/>
      <c r="K31" s="75"/>
      <c r="L31" s="75"/>
      <c r="M31" s="75"/>
      <c r="N31" s="75"/>
      <c r="O31" s="75"/>
      <c r="P31" s="75"/>
      <c r="Q31" s="97"/>
      <c r="R31" s="97"/>
      <c r="S31" s="97"/>
      <c r="T31" s="97"/>
      <c r="U31" s="97"/>
    </row>
    <row r="32" spans="2:21" s="74" customFormat="1" x14ac:dyDescent="0.25">
      <c r="F32" s="77"/>
      <c r="H32" s="76"/>
      <c r="I32" s="76"/>
      <c r="J32" s="76"/>
      <c r="K32" s="76"/>
      <c r="L32" s="76"/>
      <c r="M32" s="76"/>
      <c r="N32" s="76"/>
      <c r="O32" s="78"/>
      <c r="P32" s="78"/>
      <c r="Q32" s="97"/>
      <c r="R32" s="97"/>
      <c r="S32" s="97"/>
      <c r="T32" s="97"/>
      <c r="U32" s="97"/>
    </row>
    <row r="33" spans="2:21" s="74" customFormat="1" x14ac:dyDescent="0.25">
      <c r="F33" s="77"/>
      <c r="H33" s="76"/>
      <c r="I33" s="76"/>
      <c r="J33" s="76"/>
      <c r="K33" s="76"/>
      <c r="L33" s="76"/>
      <c r="M33" s="76"/>
      <c r="N33" s="76"/>
      <c r="O33" s="78"/>
      <c r="P33" s="78"/>
      <c r="Q33" s="97"/>
      <c r="R33" s="97"/>
      <c r="S33" s="97"/>
      <c r="T33" s="97"/>
      <c r="U33" s="97"/>
    </row>
    <row r="34" spans="2:21" s="74" customFormat="1" x14ac:dyDescent="0.25">
      <c r="F34" s="77"/>
      <c r="H34" s="76"/>
      <c r="I34" s="76"/>
      <c r="J34" s="76"/>
      <c r="K34" s="76"/>
      <c r="L34" s="76"/>
      <c r="M34" s="76"/>
      <c r="N34" s="76"/>
      <c r="O34" s="78"/>
      <c r="P34" s="78"/>
      <c r="Q34" s="97"/>
      <c r="R34" s="97"/>
      <c r="S34" s="97"/>
      <c r="T34" s="97"/>
      <c r="U34" s="97"/>
    </row>
    <row r="35" spans="2:21" s="74" customFormat="1" x14ac:dyDescent="0.25">
      <c r="F35" s="77"/>
      <c r="H35" s="76"/>
      <c r="I35" s="76"/>
      <c r="J35" s="76"/>
      <c r="K35" s="76"/>
      <c r="L35" s="76"/>
      <c r="M35" s="76"/>
      <c r="N35" s="76"/>
      <c r="O35" s="78"/>
      <c r="P35" s="78"/>
      <c r="Q35" s="97"/>
      <c r="R35" s="97"/>
      <c r="S35" s="97"/>
      <c r="T35" s="97"/>
      <c r="U35" s="97"/>
    </row>
    <row r="36" spans="2:21" ht="21.6" customHeight="1" x14ac:dyDescent="0.25">
      <c r="B36" s="79"/>
      <c r="C36" s="79"/>
      <c r="E36" s="79"/>
      <c r="F36" s="79"/>
      <c r="H36" s="79"/>
      <c r="I36" s="79"/>
      <c r="J36" s="79"/>
      <c r="K36" s="79"/>
      <c r="L36" s="79"/>
      <c r="M36" s="79"/>
      <c r="N36" s="79"/>
      <c r="O36" s="79"/>
      <c r="P36" s="79"/>
    </row>
    <row r="37" spans="2:21" s="74" customFormat="1" x14ac:dyDescent="0.25">
      <c r="B37" s="20"/>
      <c r="C37" s="3"/>
      <c r="E37" s="20"/>
      <c r="F37" s="1"/>
      <c r="H37" s="2"/>
      <c r="I37" s="20"/>
      <c r="J37" s="80"/>
      <c r="K37" s="80"/>
      <c r="L37" s="80"/>
      <c r="M37" s="20"/>
      <c r="N37" s="1"/>
      <c r="O37" s="20"/>
      <c r="P37" s="1"/>
      <c r="Q37" s="97"/>
      <c r="R37" s="97"/>
      <c r="S37" s="97"/>
      <c r="T37" s="97"/>
      <c r="U37" s="97"/>
    </row>
    <row r="38" spans="2:21" s="74" customFormat="1" x14ac:dyDescent="0.25">
      <c r="B38" s="20"/>
      <c r="C38" s="3"/>
      <c r="E38" s="20"/>
      <c r="F38" s="2"/>
      <c r="H38" s="2"/>
      <c r="I38" s="20"/>
      <c r="J38" s="1"/>
      <c r="K38" s="1"/>
      <c r="L38" s="1"/>
      <c r="M38" s="20"/>
      <c r="N38" s="3"/>
      <c r="O38" s="20"/>
      <c r="P38" s="1"/>
      <c r="Q38" s="97"/>
      <c r="R38" s="97"/>
      <c r="S38" s="97"/>
      <c r="T38" s="97"/>
      <c r="U38" s="97"/>
    </row>
    <row r="39" spans="2:21" s="74" customFormat="1" x14ac:dyDescent="0.25">
      <c r="B39" s="20"/>
      <c r="C39" s="3"/>
      <c r="E39" s="20"/>
      <c r="F39" s="2"/>
      <c r="H39" s="2"/>
      <c r="I39" s="20"/>
      <c r="J39" s="4"/>
      <c r="K39" s="4"/>
      <c r="L39" s="4"/>
      <c r="M39" s="20"/>
      <c r="N39" s="1"/>
      <c r="O39" s="20"/>
      <c r="P39" s="81"/>
      <c r="Q39" s="97"/>
      <c r="R39" s="97"/>
      <c r="S39" s="97"/>
      <c r="T39" s="97"/>
      <c r="U39" s="97"/>
    </row>
    <row r="40" spans="2:21" s="74" customFormat="1" x14ac:dyDescent="0.25">
      <c r="B40" s="2"/>
      <c r="C40" s="2"/>
      <c r="E40" s="2"/>
      <c r="F40" s="2"/>
      <c r="H40" s="2"/>
      <c r="I40" s="20"/>
      <c r="J40" s="50"/>
      <c r="K40" s="50"/>
      <c r="L40" s="50"/>
      <c r="M40" s="20"/>
      <c r="N40" s="4"/>
      <c r="O40" s="2"/>
      <c r="P40" s="2"/>
      <c r="Q40" s="97"/>
      <c r="R40" s="97"/>
      <c r="S40" s="97"/>
      <c r="T40" s="97"/>
      <c r="U40" s="97"/>
    </row>
    <row r="41" spans="2:21" ht="8.4499999999999993" customHeight="1" x14ac:dyDescent="0.25">
      <c r="I41" s="82"/>
      <c r="J41" s="83"/>
      <c r="K41" s="83"/>
      <c r="L41" s="83"/>
      <c r="N41" s="84"/>
    </row>
    <row r="42" spans="2:21" s="74" customFormat="1" ht="34.5" customHeight="1" x14ac:dyDescent="0.25">
      <c r="B42" s="52"/>
      <c r="C42" s="52"/>
      <c r="E42" s="52"/>
      <c r="F42" s="52"/>
      <c r="H42" s="52"/>
      <c r="I42" s="52"/>
      <c r="J42" s="52"/>
      <c r="K42" s="52"/>
      <c r="L42" s="52"/>
      <c r="M42" s="52"/>
      <c r="N42" s="52"/>
      <c r="O42" s="52"/>
      <c r="P42" s="52"/>
      <c r="Q42" s="97"/>
      <c r="R42" s="97"/>
      <c r="S42" s="97"/>
      <c r="T42" s="97"/>
      <c r="U42" s="97"/>
    </row>
    <row r="43" spans="2:21" s="74" customFormat="1" x14ac:dyDescent="0.25">
      <c r="B43" s="62"/>
      <c r="C43" s="62"/>
      <c r="E43" s="62"/>
      <c r="F43" s="1"/>
      <c r="H43" s="1"/>
      <c r="I43" s="1"/>
      <c r="J43" s="1"/>
      <c r="K43" s="1"/>
      <c r="L43" s="1"/>
      <c r="M43" s="1"/>
      <c r="N43" s="1"/>
      <c r="O43" s="1"/>
      <c r="P43" s="1"/>
      <c r="Q43" s="97"/>
      <c r="R43" s="97"/>
      <c r="S43" s="97"/>
      <c r="T43" s="97"/>
      <c r="U43" s="97"/>
    </row>
    <row r="44" spans="2:21" s="74" customFormat="1" x14ac:dyDescent="0.25">
      <c r="B44" s="62"/>
      <c r="C44" s="62"/>
      <c r="E44" s="62"/>
      <c r="F44" s="1"/>
      <c r="H44" s="1"/>
      <c r="I44" s="1"/>
      <c r="J44" s="1"/>
      <c r="K44" s="1"/>
      <c r="L44" s="1"/>
      <c r="M44" s="1"/>
      <c r="N44" s="1"/>
      <c r="O44" s="1"/>
      <c r="P44" s="1"/>
      <c r="Q44" s="97"/>
      <c r="R44" s="97"/>
      <c r="S44" s="97"/>
      <c r="T44" s="97"/>
      <c r="U44" s="97"/>
    </row>
    <row r="45" spans="2:21" s="74" customFormat="1" x14ac:dyDescent="0.25">
      <c r="B45" s="62"/>
      <c r="C45" s="62"/>
      <c r="E45" s="62"/>
      <c r="F45" s="1"/>
      <c r="H45" s="1"/>
      <c r="I45" s="1"/>
      <c r="J45" s="1"/>
      <c r="K45" s="1"/>
      <c r="L45" s="1"/>
      <c r="M45" s="1"/>
      <c r="N45" s="1"/>
      <c r="O45" s="1"/>
      <c r="P45" s="1"/>
      <c r="Q45" s="97"/>
      <c r="R45" s="97"/>
      <c r="S45" s="97"/>
      <c r="T45" s="97"/>
      <c r="U45" s="97"/>
    </row>
    <row r="46" spans="2:21" s="74" customFormat="1" x14ac:dyDescent="0.25">
      <c r="B46" s="62"/>
      <c r="C46" s="62"/>
      <c r="E46" s="62"/>
      <c r="F46" s="1"/>
      <c r="H46" s="1"/>
      <c r="I46" s="1"/>
      <c r="J46" s="1"/>
      <c r="K46" s="1"/>
      <c r="L46" s="1"/>
      <c r="M46" s="1"/>
      <c r="N46" s="1"/>
      <c r="O46" s="1"/>
      <c r="P46" s="1"/>
      <c r="Q46" s="97"/>
      <c r="R46" s="97"/>
      <c r="S46" s="97"/>
      <c r="T46" s="97"/>
      <c r="U46" s="97"/>
    </row>
    <row r="47" spans="2:21" s="74" customFormat="1" x14ac:dyDescent="0.25">
      <c r="B47" s="62"/>
      <c r="C47" s="62"/>
      <c r="E47" s="62"/>
      <c r="F47" s="1"/>
      <c r="H47" s="1"/>
      <c r="I47" s="1"/>
      <c r="J47" s="1"/>
      <c r="K47" s="1"/>
      <c r="L47" s="1"/>
      <c r="M47" s="1"/>
      <c r="N47" s="1"/>
      <c r="O47" s="1"/>
      <c r="P47" s="1"/>
      <c r="Q47" s="97"/>
      <c r="R47" s="97"/>
      <c r="S47" s="97"/>
      <c r="T47" s="97"/>
      <c r="U47" s="97"/>
    </row>
    <row r="48" spans="2:21" s="74" customFormat="1" x14ac:dyDescent="0.25">
      <c r="B48" s="62"/>
      <c r="C48" s="62"/>
      <c r="E48" s="62"/>
      <c r="F48" s="1"/>
      <c r="H48" s="1"/>
      <c r="I48" s="1"/>
      <c r="J48" s="1"/>
      <c r="K48" s="1"/>
      <c r="L48" s="1"/>
      <c r="M48" s="1"/>
      <c r="N48" s="1"/>
      <c r="O48" s="1"/>
      <c r="P48" s="1"/>
      <c r="Q48" s="97"/>
      <c r="R48" s="97"/>
      <c r="S48" s="97"/>
      <c r="T48" s="97"/>
      <c r="U48" s="97"/>
    </row>
    <row r="49" spans="2:21" s="74" customFormat="1" x14ac:dyDescent="0.25">
      <c r="B49" s="62"/>
      <c r="C49" s="62"/>
      <c r="E49" s="62"/>
      <c r="F49" s="1"/>
      <c r="H49" s="1"/>
      <c r="I49" s="1"/>
      <c r="J49" s="1"/>
      <c r="K49" s="1"/>
      <c r="L49" s="1"/>
      <c r="M49" s="1"/>
      <c r="N49" s="1"/>
      <c r="O49" s="1"/>
      <c r="P49" s="1"/>
      <c r="Q49" s="97"/>
      <c r="R49" s="97"/>
      <c r="S49" s="97"/>
      <c r="T49" s="97"/>
      <c r="U49" s="97"/>
    </row>
    <row r="50" spans="2:21" s="74" customFormat="1" x14ac:dyDescent="0.25">
      <c r="B50" s="62"/>
      <c r="C50" s="62"/>
      <c r="E50" s="62"/>
      <c r="F50" s="1"/>
      <c r="H50" s="1"/>
      <c r="I50" s="1"/>
      <c r="J50" s="1"/>
      <c r="K50" s="1"/>
      <c r="L50" s="1"/>
      <c r="M50" s="1"/>
      <c r="N50" s="1"/>
      <c r="O50" s="1"/>
      <c r="P50" s="1"/>
      <c r="Q50" s="97"/>
      <c r="R50" s="97"/>
      <c r="S50" s="97"/>
      <c r="T50" s="97"/>
      <c r="U50" s="97"/>
    </row>
    <row r="51" spans="2:21" s="74" customFormat="1" x14ac:dyDescent="0.25">
      <c r="B51" s="62"/>
      <c r="C51" s="62"/>
      <c r="E51" s="62"/>
      <c r="F51" s="1"/>
      <c r="H51" s="1"/>
      <c r="I51" s="1"/>
      <c r="J51" s="1"/>
      <c r="K51" s="1"/>
      <c r="L51" s="1"/>
      <c r="M51" s="1"/>
      <c r="N51" s="1"/>
      <c r="O51" s="1"/>
      <c r="P51" s="1"/>
      <c r="Q51" s="97"/>
      <c r="R51" s="97"/>
      <c r="S51" s="97"/>
      <c r="T51" s="97"/>
      <c r="U51" s="97"/>
    </row>
    <row r="52" spans="2:21" s="74" customFormat="1" x14ac:dyDescent="0.25">
      <c r="B52" s="62"/>
      <c r="C52" s="62"/>
      <c r="E52" s="62"/>
      <c r="F52" s="1"/>
      <c r="H52" s="1"/>
      <c r="I52" s="1"/>
      <c r="J52" s="1"/>
      <c r="K52" s="1"/>
      <c r="L52" s="1"/>
      <c r="M52" s="1"/>
      <c r="N52" s="1"/>
      <c r="O52" s="1"/>
      <c r="P52" s="1"/>
      <c r="Q52" s="97"/>
      <c r="R52" s="97"/>
      <c r="S52" s="97"/>
      <c r="T52" s="97"/>
      <c r="U52" s="97"/>
    </row>
    <row r="53" spans="2:21" s="74" customFormat="1" x14ac:dyDescent="0.25">
      <c r="B53" s="62"/>
      <c r="C53" s="62"/>
      <c r="E53" s="62"/>
      <c r="F53" s="1"/>
      <c r="H53" s="1"/>
      <c r="I53" s="1"/>
      <c r="J53" s="1"/>
      <c r="K53" s="1"/>
      <c r="L53" s="1"/>
      <c r="M53" s="1"/>
      <c r="N53" s="1"/>
      <c r="O53" s="1"/>
      <c r="P53" s="1"/>
      <c r="Q53" s="97"/>
      <c r="R53" s="97"/>
      <c r="S53" s="97"/>
      <c r="T53" s="97"/>
      <c r="U53" s="97"/>
    </row>
    <row r="54" spans="2:21" s="74" customFormat="1" x14ac:dyDescent="0.25">
      <c r="B54" s="62"/>
      <c r="C54" s="62"/>
      <c r="E54" s="62"/>
      <c r="F54" s="1"/>
      <c r="H54" s="1"/>
      <c r="I54" s="1"/>
      <c r="J54" s="1"/>
      <c r="K54" s="1"/>
      <c r="L54" s="1"/>
      <c r="M54" s="1"/>
      <c r="N54" s="1"/>
      <c r="O54" s="1"/>
      <c r="P54" s="1"/>
      <c r="Q54" s="97"/>
      <c r="R54" s="97"/>
      <c r="S54" s="97"/>
      <c r="T54" s="97"/>
      <c r="U54" s="97"/>
    </row>
    <row r="55" spans="2:21" s="74" customFormat="1" x14ac:dyDescent="0.25">
      <c r="B55" s="85"/>
      <c r="C55" s="85"/>
      <c r="E55" s="85"/>
      <c r="F55" s="75"/>
      <c r="H55" s="75"/>
      <c r="I55" s="75"/>
      <c r="J55" s="75"/>
      <c r="K55" s="75"/>
      <c r="L55" s="75"/>
      <c r="M55" s="75"/>
      <c r="N55" s="75"/>
      <c r="O55" s="75"/>
      <c r="P55" s="75"/>
      <c r="Q55" s="97"/>
      <c r="R55" s="97"/>
      <c r="S55" s="97"/>
      <c r="T55" s="97"/>
      <c r="U55" s="97"/>
    </row>
    <row r="56" spans="2:21" s="74" customFormat="1" x14ac:dyDescent="0.25">
      <c r="F56" s="77"/>
      <c r="H56" s="76"/>
      <c r="I56" s="76"/>
      <c r="J56" s="76"/>
      <c r="K56" s="76"/>
      <c r="L56" s="76"/>
      <c r="M56" s="76"/>
      <c r="N56" s="76"/>
      <c r="O56" s="78"/>
      <c r="P56" s="78"/>
      <c r="Q56" s="97"/>
      <c r="R56" s="97"/>
      <c r="S56" s="97"/>
      <c r="T56" s="97"/>
      <c r="U56" s="97"/>
    </row>
    <row r="57" spans="2:21" s="74" customFormat="1" x14ac:dyDescent="0.25">
      <c r="F57" s="77"/>
      <c r="H57" s="76"/>
      <c r="I57" s="76"/>
      <c r="J57" s="76"/>
      <c r="K57" s="76"/>
      <c r="L57" s="76"/>
      <c r="M57" s="76"/>
      <c r="N57" s="76"/>
      <c r="O57" s="78"/>
      <c r="P57" s="78"/>
      <c r="Q57" s="97"/>
      <c r="R57" s="97"/>
      <c r="S57" s="97"/>
      <c r="T57" s="97"/>
      <c r="U57" s="97"/>
    </row>
    <row r="58" spans="2:21" s="74" customFormat="1" x14ac:dyDescent="0.25">
      <c r="F58" s="77"/>
      <c r="H58" s="76"/>
      <c r="I58" s="76"/>
      <c r="J58" s="76"/>
      <c r="K58" s="76"/>
      <c r="L58" s="76"/>
      <c r="M58" s="76"/>
      <c r="N58" s="76"/>
      <c r="O58" s="78"/>
      <c r="P58" s="78"/>
      <c r="Q58" s="97"/>
      <c r="R58" s="97"/>
      <c r="S58" s="97"/>
      <c r="T58" s="97"/>
      <c r="U58" s="97"/>
    </row>
    <row r="59" spans="2:21" s="74" customFormat="1" x14ac:dyDescent="0.25">
      <c r="F59" s="77"/>
      <c r="H59" s="76"/>
      <c r="I59" s="76"/>
      <c r="J59" s="76"/>
      <c r="K59" s="76"/>
      <c r="L59" s="76"/>
      <c r="M59" s="76"/>
      <c r="N59" s="76"/>
      <c r="O59" s="78"/>
      <c r="P59" s="78"/>
      <c r="Q59" s="97"/>
      <c r="R59" s="97"/>
      <c r="S59" s="97"/>
      <c r="T59" s="97"/>
      <c r="U59" s="97"/>
    </row>
    <row r="60" spans="2:21" ht="21.6" customHeight="1" x14ac:dyDescent="0.25">
      <c r="B60" s="79"/>
      <c r="C60" s="79"/>
      <c r="E60" s="79"/>
      <c r="F60" s="79"/>
      <c r="H60" s="79"/>
      <c r="I60" s="79"/>
      <c r="J60" s="79"/>
      <c r="K60" s="79"/>
      <c r="L60" s="79"/>
      <c r="M60" s="79"/>
      <c r="N60" s="79"/>
      <c r="O60" s="79"/>
      <c r="P60" s="79"/>
    </row>
    <row r="61" spans="2:21" s="74" customFormat="1" x14ac:dyDescent="0.25">
      <c r="B61" s="20"/>
      <c r="C61" s="3"/>
      <c r="E61" s="20"/>
      <c r="F61" s="1"/>
      <c r="H61" s="2"/>
      <c r="I61" s="20"/>
      <c r="J61" s="80"/>
      <c r="K61" s="80"/>
      <c r="L61" s="80"/>
      <c r="M61" s="20"/>
      <c r="N61" s="1"/>
      <c r="O61" s="20"/>
      <c r="P61" s="1"/>
      <c r="Q61" s="97"/>
      <c r="R61" s="97"/>
      <c r="S61" s="97"/>
      <c r="T61" s="97"/>
      <c r="U61" s="97"/>
    </row>
    <row r="62" spans="2:21" s="74" customFormat="1" x14ac:dyDescent="0.25">
      <c r="B62" s="20"/>
      <c r="C62" s="3"/>
      <c r="E62" s="20"/>
      <c r="F62" s="2"/>
      <c r="H62" s="2"/>
      <c r="I62" s="20"/>
      <c r="J62" s="1"/>
      <c r="K62" s="1"/>
      <c r="L62" s="1"/>
      <c r="M62" s="20"/>
      <c r="N62" s="3"/>
      <c r="O62" s="20"/>
      <c r="P62" s="1"/>
      <c r="Q62" s="97"/>
      <c r="R62" s="97"/>
      <c r="S62" s="97"/>
      <c r="T62" s="97"/>
      <c r="U62" s="97"/>
    </row>
    <row r="63" spans="2:21" s="74" customFormat="1" x14ac:dyDescent="0.25">
      <c r="B63" s="20"/>
      <c r="C63" s="3"/>
      <c r="E63" s="20"/>
      <c r="F63" s="2"/>
      <c r="H63" s="2"/>
      <c r="I63" s="20"/>
      <c r="J63" s="4"/>
      <c r="K63" s="4"/>
      <c r="L63" s="4"/>
      <c r="M63" s="20"/>
      <c r="N63" s="1"/>
      <c r="O63" s="20"/>
      <c r="P63" s="62"/>
      <c r="Q63" s="97"/>
      <c r="R63" s="97"/>
      <c r="S63" s="97"/>
      <c r="T63" s="97"/>
      <c r="U63" s="97"/>
    </row>
    <row r="64" spans="2:21" s="74" customFormat="1" x14ac:dyDescent="0.25">
      <c r="B64" s="2"/>
      <c r="C64" s="2"/>
      <c r="E64" s="2"/>
      <c r="F64" s="2"/>
      <c r="H64" s="2"/>
      <c r="I64" s="20"/>
      <c r="J64" s="50"/>
      <c r="K64" s="50"/>
      <c r="L64" s="50"/>
      <c r="M64" s="20"/>
      <c r="N64" s="4"/>
      <c r="O64" s="2"/>
      <c r="P64" s="2"/>
      <c r="Q64" s="97"/>
      <c r="R64" s="97"/>
      <c r="S64" s="97"/>
      <c r="T64" s="97"/>
      <c r="U64" s="97"/>
    </row>
    <row r="65" spans="2:21" ht="8.4499999999999993" customHeight="1" x14ac:dyDescent="0.25">
      <c r="I65" s="82"/>
      <c r="J65" s="83"/>
      <c r="K65" s="83"/>
      <c r="L65" s="83"/>
      <c r="N65" s="84"/>
    </row>
    <row r="66" spans="2:21" s="74" customFormat="1" ht="33.6" customHeight="1" x14ac:dyDescent="0.25">
      <c r="B66" s="52"/>
      <c r="C66" s="52"/>
      <c r="E66" s="52"/>
      <c r="F66" s="52"/>
      <c r="H66" s="52"/>
      <c r="I66" s="52"/>
      <c r="J66" s="52"/>
      <c r="K66" s="52"/>
      <c r="L66" s="52"/>
      <c r="M66" s="52"/>
      <c r="N66" s="52"/>
      <c r="O66" s="52"/>
      <c r="P66" s="52"/>
      <c r="Q66" s="97"/>
      <c r="R66" s="97"/>
      <c r="S66" s="97"/>
      <c r="T66" s="97"/>
      <c r="U66" s="97"/>
    </row>
    <row r="67" spans="2:21" s="74" customFormat="1" x14ac:dyDescent="0.25">
      <c r="B67" s="62"/>
      <c r="C67" s="62"/>
      <c r="E67" s="62"/>
      <c r="F67" s="1"/>
      <c r="H67" s="1"/>
      <c r="I67" s="1"/>
      <c r="J67" s="1"/>
      <c r="K67" s="1"/>
      <c r="L67" s="1"/>
      <c r="M67" s="1"/>
      <c r="N67" s="1"/>
      <c r="O67" s="1"/>
      <c r="P67" s="1"/>
      <c r="Q67" s="97"/>
      <c r="R67" s="97"/>
      <c r="S67" s="97"/>
      <c r="T67" s="97"/>
      <c r="U67" s="97"/>
    </row>
    <row r="68" spans="2:21" s="74" customFormat="1" x14ac:dyDescent="0.25">
      <c r="B68" s="62"/>
      <c r="C68" s="62"/>
      <c r="E68" s="62"/>
      <c r="F68" s="1"/>
      <c r="H68" s="1"/>
      <c r="I68" s="1"/>
      <c r="J68" s="1"/>
      <c r="K68" s="1"/>
      <c r="L68" s="1"/>
      <c r="M68" s="1"/>
      <c r="N68" s="1"/>
      <c r="O68" s="1"/>
      <c r="P68" s="1"/>
      <c r="Q68" s="97"/>
      <c r="R68" s="97"/>
      <c r="S68" s="97"/>
      <c r="T68" s="97"/>
      <c r="U68" s="97"/>
    </row>
    <row r="69" spans="2:21" s="74" customFormat="1" x14ac:dyDescent="0.25">
      <c r="B69" s="62"/>
      <c r="C69" s="62"/>
      <c r="E69" s="62"/>
      <c r="F69" s="1"/>
      <c r="H69" s="1"/>
      <c r="I69" s="1"/>
      <c r="J69" s="1"/>
      <c r="K69" s="1"/>
      <c r="L69" s="1"/>
      <c r="M69" s="1"/>
      <c r="N69" s="1"/>
      <c r="O69" s="1"/>
      <c r="P69" s="1"/>
      <c r="Q69" s="97"/>
      <c r="R69" s="97"/>
      <c r="S69" s="97"/>
      <c r="T69" s="97"/>
      <c r="U69" s="97"/>
    </row>
    <row r="70" spans="2:21" s="74" customFormat="1" x14ac:dyDescent="0.25">
      <c r="B70" s="62"/>
      <c r="C70" s="62"/>
      <c r="E70" s="62"/>
      <c r="F70" s="1"/>
      <c r="H70" s="1"/>
      <c r="I70" s="1"/>
      <c r="J70" s="1"/>
      <c r="K70" s="1"/>
      <c r="L70" s="1"/>
      <c r="M70" s="1"/>
      <c r="N70" s="1"/>
      <c r="O70" s="1"/>
      <c r="P70" s="1"/>
      <c r="Q70" s="97"/>
      <c r="R70" s="97"/>
      <c r="S70" s="97"/>
      <c r="T70" s="97"/>
      <c r="U70" s="97"/>
    </row>
    <row r="71" spans="2:21" s="74" customFormat="1" x14ac:dyDescent="0.25">
      <c r="B71" s="62"/>
      <c r="C71" s="62"/>
      <c r="E71" s="62"/>
      <c r="F71" s="1"/>
      <c r="H71" s="1"/>
      <c r="I71" s="1"/>
      <c r="J71" s="1"/>
      <c r="K71" s="1"/>
      <c r="L71" s="1"/>
      <c r="M71" s="1"/>
      <c r="N71" s="1"/>
      <c r="O71" s="1"/>
      <c r="P71" s="1"/>
      <c r="Q71" s="97"/>
      <c r="R71" s="97"/>
      <c r="S71" s="97"/>
      <c r="T71" s="97"/>
      <c r="U71" s="97"/>
    </row>
    <row r="72" spans="2:21" s="74" customFormat="1" x14ac:dyDescent="0.25">
      <c r="B72" s="62"/>
      <c r="C72" s="62"/>
      <c r="E72" s="62"/>
      <c r="F72" s="1"/>
      <c r="H72" s="1"/>
      <c r="I72" s="1"/>
      <c r="J72" s="1"/>
      <c r="K72" s="1"/>
      <c r="L72" s="1"/>
      <c r="M72" s="1"/>
      <c r="N72" s="1"/>
      <c r="O72" s="1"/>
      <c r="P72" s="1"/>
      <c r="Q72" s="97"/>
      <c r="R72" s="97"/>
      <c r="S72" s="97"/>
      <c r="T72" s="97"/>
      <c r="U72" s="97"/>
    </row>
    <row r="73" spans="2:21" s="74" customFormat="1" x14ac:dyDescent="0.25">
      <c r="B73" s="62"/>
      <c r="C73" s="62"/>
      <c r="E73" s="62"/>
      <c r="F73" s="1"/>
      <c r="H73" s="1"/>
      <c r="I73" s="1"/>
      <c r="J73" s="1"/>
      <c r="K73" s="1"/>
      <c r="L73" s="1"/>
      <c r="M73" s="1"/>
      <c r="N73" s="1"/>
      <c r="O73" s="1"/>
      <c r="P73" s="1"/>
      <c r="Q73" s="97"/>
      <c r="R73" s="97"/>
      <c r="S73" s="97"/>
      <c r="T73" s="97"/>
      <c r="U73" s="97"/>
    </row>
    <row r="74" spans="2:21" s="74" customFormat="1" x14ac:dyDescent="0.25">
      <c r="B74" s="62"/>
      <c r="C74" s="62"/>
      <c r="E74" s="62"/>
      <c r="F74" s="1"/>
      <c r="H74" s="1"/>
      <c r="I74" s="1"/>
      <c r="J74" s="1"/>
      <c r="K74" s="1"/>
      <c r="L74" s="1"/>
      <c r="M74" s="1"/>
      <c r="N74" s="1"/>
      <c r="O74" s="1"/>
      <c r="P74" s="1"/>
      <c r="Q74" s="97"/>
      <c r="R74" s="97"/>
      <c r="S74" s="97"/>
      <c r="T74" s="97"/>
      <c r="U74" s="97"/>
    </row>
    <row r="75" spans="2:21" s="74" customFormat="1" x14ac:dyDescent="0.25">
      <c r="B75" s="62"/>
      <c r="C75" s="62"/>
      <c r="E75" s="62"/>
      <c r="F75" s="1"/>
      <c r="H75" s="1"/>
      <c r="I75" s="1"/>
      <c r="J75" s="1"/>
      <c r="K75" s="1"/>
      <c r="L75" s="1"/>
      <c r="M75" s="1"/>
      <c r="N75" s="1"/>
      <c r="O75" s="1"/>
      <c r="P75" s="1"/>
      <c r="Q75" s="97"/>
      <c r="R75" s="97"/>
      <c r="S75" s="97"/>
      <c r="T75" s="97"/>
      <c r="U75" s="97"/>
    </row>
    <row r="76" spans="2:21" s="74" customFormat="1" x14ac:dyDescent="0.25">
      <c r="B76" s="62"/>
      <c r="C76" s="62"/>
      <c r="E76" s="62"/>
      <c r="F76" s="1"/>
      <c r="H76" s="1"/>
      <c r="I76" s="1"/>
      <c r="J76" s="1"/>
      <c r="K76" s="1"/>
      <c r="L76" s="1"/>
      <c r="M76" s="1"/>
      <c r="N76" s="1"/>
      <c r="O76" s="1"/>
      <c r="P76" s="1"/>
      <c r="Q76" s="97"/>
      <c r="R76" s="97"/>
      <c r="S76" s="97"/>
      <c r="T76" s="97"/>
      <c r="U76" s="97"/>
    </row>
    <row r="77" spans="2:21" s="74" customFormat="1" x14ac:dyDescent="0.25">
      <c r="B77" s="62"/>
      <c r="C77" s="62"/>
      <c r="E77" s="62"/>
      <c r="F77" s="1"/>
      <c r="H77" s="1"/>
      <c r="I77" s="1"/>
      <c r="J77" s="1"/>
      <c r="K77" s="1"/>
      <c r="L77" s="1"/>
      <c r="M77" s="1"/>
      <c r="N77" s="1"/>
      <c r="O77" s="1"/>
      <c r="P77" s="1"/>
      <c r="Q77" s="97"/>
      <c r="R77" s="97"/>
      <c r="S77" s="97"/>
      <c r="T77" s="97"/>
      <c r="U77" s="97"/>
    </row>
    <row r="78" spans="2:21" s="74" customFormat="1" x14ac:dyDescent="0.25">
      <c r="B78" s="62"/>
      <c r="C78" s="62"/>
      <c r="E78" s="62"/>
      <c r="F78" s="1"/>
      <c r="H78" s="1"/>
      <c r="I78" s="1"/>
      <c r="J78" s="1"/>
      <c r="K78" s="1"/>
      <c r="L78" s="1"/>
      <c r="M78" s="1"/>
      <c r="N78" s="1"/>
      <c r="O78" s="1"/>
      <c r="P78" s="1"/>
      <c r="Q78" s="97"/>
      <c r="R78" s="97"/>
      <c r="S78" s="97"/>
      <c r="T78" s="97"/>
      <c r="U78" s="97"/>
    </row>
    <row r="79" spans="2:21" s="74" customFormat="1" x14ac:dyDescent="0.25">
      <c r="B79" s="85"/>
      <c r="C79" s="85"/>
      <c r="E79" s="85"/>
      <c r="F79" s="75"/>
      <c r="H79" s="75"/>
      <c r="I79" s="75"/>
      <c r="J79" s="75"/>
      <c r="K79" s="75"/>
      <c r="L79" s="75"/>
      <c r="M79" s="75"/>
      <c r="N79" s="75"/>
      <c r="O79" s="75"/>
      <c r="P79" s="75"/>
      <c r="Q79" s="97"/>
      <c r="R79" s="97"/>
      <c r="S79" s="97"/>
      <c r="T79" s="97"/>
      <c r="U79" s="97"/>
    </row>
    <row r="80" spans="2:21" s="74" customFormat="1" x14ac:dyDescent="0.25">
      <c r="F80" s="77"/>
      <c r="H80" s="76"/>
      <c r="I80" s="76"/>
      <c r="J80" s="76"/>
      <c r="K80" s="76"/>
      <c r="L80" s="76"/>
      <c r="M80" s="76"/>
      <c r="N80" s="76"/>
      <c r="O80" s="78"/>
      <c r="P80" s="78"/>
      <c r="Q80" s="97"/>
      <c r="R80" s="97"/>
      <c r="S80" s="97"/>
      <c r="T80" s="97"/>
      <c r="U80" s="97"/>
    </row>
    <row r="81" spans="2:21" s="74" customFormat="1" x14ac:dyDescent="0.25">
      <c r="F81" s="77"/>
      <c r="H81" s="76"/>
      <c r="I81" s="76"/>
      <c r="J81" s="76"/>
      <c r="K81" s="76"/>
      <c r="L81" s="76"/>
      <c r="M81" s="76"/>
      <c r="N81" s="76"/>
      <c r="O81" s="78"/>
      <c r="P81" s="78"/>
      <c r="Q81" s="97"/>
      <c r="R81" s="97"/>
      <c r="S81" s="97"/>
      <c r="T81" s="97"/>
      <c r="U81" s="97"/>
    </row>
    <row r="82" spans="2:21" s="74" customFormat="1" x14ac:dyDescent="0.25">
      <c r="F82" s="77"/>
      <c r="H82" s="76"/>
      <c r="I82" s="76"/>
      <c r="J82" s="76"/>
      <c r="K82" s="76"/>
      <c r="L82" s="76"/>
      <c r="M82" s="76"/>
      <c r="N82" s="76"/>
      <c r="O82" s="78"/>
      <c r="P82" s="78"/>
      <c r="Q82" s="97"/>
      <c r="R82" s="97"/>
      <c r="S82" s="97"/>
      <c r="T82" s="97"/>
      <c r="U82" s="97"/>
    </row>
    <row r="83" spans="2:21" s="74" customFormat="1" x14ac:dyDescent="0.25">
      <c r="F83" s="77"/>
      <c r="H83" s="76"/>
      <c r="I83" s="76"/>
      <c r="J83" s="76"/>
      <c r="K83" s="76"/>
      <c r="L83" s="76"/>
      <c r="M83" s="76"/>
      <c r="N83" s="76"/>
      <c r="O83" s="78"/>
      <c r="P83" s="78"/>
      <c r="Q83" s="97"/>
      <c r="R83" s="97"/>
      <c r="S83" s="97"/>
      <c r="T83" s="97"/>
      <c r="U83" s="97"/>
    </row>
    <row r="84" spans="2:21" s="74" customFormat="1" x14ac:dyDescent="0.25">
      <c r="F84" s="77"/>
      <c r="H84" s="76"/>
      <c r="I84" s="76"/>
      <c r="J84" s="76"/>
      <c r="K84" s="76"/>
      <c r="L84" s="76"/>
      <c r="M84" s="76"/>
      <c r="N84" s="76"/>
      <c r="O84" s="78"/>
      <c r="P84" s="78"/>
      <c r="Q84" s="97"/>
      <c r="R84" s="97"/>
      <c r="S84" s="97"/>
      <c r="T84" s="97"/>
      <c r="U84" s="97"/>
    </row>
    <row r="85" spans="2:21" s="74" customFormat="1" x14ac:dyDescent="0.25">
      <c r="F85" s="77"/>
      <c r="H85" s="76"/>
      <c r="I85" s="76"/>
      <c r="J85" s="76"/>
      <c r="K85" s="76"/>
      <c r="L85" s="76"/>
      <c r="M85" s="76"/>
      <c r="N85" s="76"/>
      <c r="O85" s="78"/>
      <c r="P85" s="78"/>
      <c r="Q85" s="97"/>
      <c r="R85" s="97"/>
      <c r="S85" s="97"/>
      <c r="T85" s="97"/>
      <c r="U85" s="97"/>
    </row>
    <row r="90" spans="2:21" x14ac:dyDescent="0.25">
      <c r="B90" s="74"/>
      <c r="E90" s="74"/>
    </row>
  </sheetData>
  <sheetProtection algorithmName="SHA-512" hashValue="MH/2McrpXV0dmwSf2ATZpPHhzPWmw1cQpOg9XPRn1GlwDfx6U/CMkHD4k0x2oy5tQAS5uOyVeC7bOnsj8451mg==" saltValue="kdR28nL3vo+BRdCbdYHscA==" spinCount="100000" sheet="1" objects="1" scenarios="1" selectLockedCells="1" selectUnlockedCells="1"/>
  <mergeCells count="7">
    <mergeCell ref="C30:E30"/>
    <mergeCell ref="B6:P6"/>
    <mergeCell ref="C8:D8"/>
    <mergeCell ref="F8:G8"/>
    <mergeCell ref="I8:L8"/>
    <mergeCell ref="N8:O8"/>
    <mergeCell ref="B15:P15"/>
  </mergeCells>
  <conditionalFormatting sqref="P38">
    <cfRule type="cellIs" dxfId="7" priority="4" operator="lessThan">
      <formula>0</formula>
    </cfRule>
  </conditionalFormatting>
  <conditionalFormatting sqref="P62">
    <cfRule type="cellIs" dxfId="6" priority="3" operator="lessThan">
      <formula>0</formula>
    </cfRule>
  </conditionalFormatting>
  <conditionalFormatting sqref="B7:C7 E7:F7 H7:P7 B6">
    <cfRule type="containsText" dxfId="5" priority="2" operator="containsText" text="KO">
      <formula>NOT(ISERROR(SEARCH("KO",B6)))</formula>
    </cfRule>
  </conditionalFormatting>
  <conditionalFormatting sqref="B15:B16">
    <cfRule type="containsText" dxfId="4" priority="1" operator="containsText" text="KO">
      <formula>NOT(ISERROR(SEARCH("KO",B15)))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55321F-9833-4B75-AFFB-20B52736538D}">
          <x14:formula1>
            <xm:f>Input!$E$2:$E$4</xm:f>
          </x14:formula1>
          <xm:sqref>P63</xm:sqref>
        </x14:dataValidation>
        <x14:dataValidation type="list" allowBlank="1" showInputMessage="1" showErrorMessage="1" xr:uid="{2297D18C-85C2-457C-99D7-9A522BA677DA}">
          <x14:formula1>
            <xm:f>Input!$J$2:$J$3</xm:f>
          </x14:formula1>
          <xm:sqref>N40 N64</xm:sqref>
        </x14:dataValidation>
        <x14:dataValidation type="list" allowBlank="1" showInputMessage="1" showErrorMessage="1" xr:uid="{32734BDB-186B-4381-A27C-C2CAC7E12D96}">
          <x14:formula1>
            <xm:f>Input!$H$2:$H$4</xm:f>
          </x14:formula1>
          <xm:sqref>J37:L37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A602-49BF-451F-B13B-50414A114283}">
  <sheetPr>
    <tabColor theme="7" tint="-0.249977111117893"/>
  </sheetPr>
  <dimension ref="A1:U90"/>
  <sheetViews>
    <sheetView zoomScale="70" zoomScaleNormal="70" workbookViewId="0">
      <selection activeCell="B15" sqref="B15:P15"/>
    </sheetView>
  </sheetViews>
  <sheetFormatPr defaultColWidth="8.7109375" defaultRowHeight="15" x14ac:dyDescent="0.25"/>
  <cols>
    <col min="1" max="1" width="1.42578125" style="16" customWidth="1"/>
    <col min="2" max="2" width="15.140625" style="16" customWidth="1"/>
    <col min="3" max="3" width="21.7109375" style="16" customWidth="1"/>
    <col min="4" max="4" width="9.28515625" style="16" customWidth="1"/>
    <col min="5" max="5" width="16.140625" style="16" customWidth="1"/>
    <col min="6" max="7" width="16.42578125" style="16" customWidth="1"/>
    <col min="8" max="8" width="16.140625" style="16" customWidth="1"/>
    <col min="9" max="9" width="20.5703125" style="16" customWidth="1"/>
    <col min="10" max="10" width="17.140625" style="16" customWidth="1"/>
    <col min="11" max="11" width="18.7109375" style="16" customWidth="1"/>
    <col min="12" max="13" width="16.140625" style="16" customWidth="1"/>
    <col min="14" max="14" width="21.85546875" style="16" customWidth="1"/>
    <col min="15" max="15" width="16.140625" style="16" customWidth="1"/>
    <col min="16" max="16" width="15.85546875" style="16" customWidth="1"/>
    <col min="17" max="17" width="21.5703125" style="91" bestFit="1" customWidth="1"/>
    <col min="18" max="18" width="18.140625" style="91" bestFit="1" customWidth="1"/>
    <col min="19" max="21" width="8.7109375" style="91"/>
    <col min="22" max="16384" width="8.7109375" style="16"/>
  </cols>
  <sheetData>
    <row r="1" spans="1:21" s="15" customFormat="1" x14ac:dyDescent="0.25">
      <c r="Q1" s="86"/>
      <c r="R1" s="86"/>
      <c r="S1" s="86"/>
      <c r="T1" s="86"/>
      <c r="U1" s="86"/>
    </row>
    <row r="2" spans="1:21" s="15" customFormat="1" x14ac:dyDescent="0.25">
      <c r="Q2" s="86"/>
      <c r="R2" s="86"/>
      <c r="S2" s="86"/>
      <c r="T2" s="86"/>
      <c r="U2" s="86"/>
    </row>
    <row r="3" spans="1:21" s="15" customFormat="1" x14ac:dyDescent="0.25">
      <c r="Q3" s="86"/>
      <c r="R3" s="86"/>
      <c r="S3" s="86"/>
      <c r="T3" s="86"/>
      <c r="U3" s="86"/>
    </row>
    <row r="4" spans="1:21" s="15" customFormat="1" x14ac:dyDescent="0.25">
      <c r="Q4" s="86"/>
      <c r="R4" s="86"/>
      <c r="S4" s="86"/>
      <c r="T4" s="86"/>
      <c r="U4" s="86"/>
    </row>
    <row r="5" spans="1:21" s="15" customFormat="1" ht="9.9499999999999993" customHeight="1" thickBot="1" x14ac:dyDescent="0.3">
      <c r="Q5" s="86"/>
      <c r="R5" s="86"/>
      <c r="S5" s="86"/>
      <c r="T5" s="86"/>
      <c r="U5" s="86"/>
    </row>
    <row r="6" spans="1:21" s="15" customFormat="1" ht="27.6" customHeight="1" thickBot="1" x14ac:dyDescent="0.3">
      <c r="B6" s="124" t="s">
        <v>34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6"/>
      <c r="Q6" s="86"/>
      <c r="R6" s="86"/>
      <c r="S6" s="86"/>
      <c r="T6" s="86"/>
      <c r="U6" s="86"/>
    </row>
    <row r="7" spans="1:21" s="15" customFormat="1" ht="8.1" customHeight="1" thickBot="1" x14ac:dyDescent="0.3">
      <c r="A7" s="16"/>
      <c r="B7" s="17"/>
      <c r="C7" s="17"/>
      <c r="D7" s="16"/>
      <c r="E7" s="17"/>
      <c r="F7" s="17"/>
      <c r="G7" s="16"/>
      <c r="H7" s="17"/>
      <c r="I7" s="17"/>
      <c r="J7" s="17"/>
      <c r="K7" s="17"/>
      <c r="L7" s="17"/>
      <c r="M7" s="17"/>
      <c r="N7" s="17"/>
      <c r="O7" s="17"/>
      <c r="P7" s="17"/>
      <c r="Q7" s="86"/>
      <c r="R7" s="86"/>
      <c r="S7" s="86"/>
      <c r="T7" s="86"/>
      <c r="U7" s="86"/>
    </row>
    <row r="8" spans="1:21" ht="16.5" thickBot="1" x14ac:dyDescent="0.3">
      <c r="C8" s="129" t="s">
        <v>42</v>
      </c>
      <c r="D8" s="130"/>
      <c r="E8" s="18"/>
      <c r="F8" s="129" t="s">
        <v>14</v>
      </c>
      <c r="G8" s="130"/>
      <c r="I8" s="129" t="s">
        <v>48</v>
      </c>
      <c r="J8" s="131"/>
      <c r="K8" s="131"/>
      <c r="L8" s="130"/>
      <c r="M8" s="19"/>
      <c r="N8" s="129" t="s">
        <v>55</v>
      </c>
      <c r="O8" s="130"/>
      <c r="P8" s="20"/>
      <c r="Q8" s="10"/>
      <c r="R8" s="87"/>
      <c r="S8" s="10"/>
      <c r="T8" s="87"/>
      <c r="U8" s="88"/>
    </row>
    <row r="9" spans="1:21" ht="27.6" customHeight="1" x14ac:dyDescent="0.25">
      <c r="C9" s="21" t="s">
        <v>45</v>
      </c>
      <c r="D9" s="22">
        <f>Sintesi!C11</f>
        <v>4.6399999999999997E-2</v>
      </c>
      <c r="F9" s="21" t="s">
        <v>46</v>
      </c>
      <c r="G9" s="23" t="str">
        <f>+Sintesi!C10</f>
        <v>Inserimento mercati esteri</v>
      </c>
      <c r="I9" s="24" t="s">
        <v>63</v>
      </c>
      <c r="J9" s="25">
        <f>+L9-J11</f>
        <v>900000</v>
      </c>
      <c r="K9" s="26" t="s">
        <v>62</v>
      </c>
      <c r="L9" s="27">
        <f>+Sintesi!C7</f>
        <v>1000000</v>
      </c>
      <c r="M9" s="28"/>
      <c r="N9" s="29" t="s">
        <v>52</v>
      </c>
      <c r="O9" s="7">
        <v>200000</v>
      </c>
      <c r="P9" s="20"/>
      <c r="Q9" s="88"/>
      <c r="R9" s="89"/>
      <c r="S9" s="90"/>
    </row>
    <row r="10" spans="1:21" ht="22.5" customHeight="1" thickBot="1" x14ac:dyDescent="0.3">
      <c r="C10" s="32" t="s">
        <v>43</v>
      </c>
      <c r="D10" s="33">
        <f>+D9*L10</f>
        <v>4.64E-3</v>
      </c>
      <c r="F10" s="34" t="s">
        <v>47</v>
      </c>
      <c r="G10" s="35" t="str">
        <f>VLOOKUP(Sintesi!C10,Input!M2:N7,2,FALSE)</f>
        <v>IM</v>
      </c>
      <c r="I10" s="32" t="s">
        <v>49</v>
      </c>
      <c r="J10" s="36">
        <f>IF(G10="IM",SUM(N18:N29)-SUM(N20:N21),SUM(N18:N29))/((1+D9)^0.5)</f>
        <v>186803.311413649</v>
      </c>
      <c r="K10" s="9" t="s">
        <v>50</v>
      </c>
      <c r="L10" s="37">
        <f>+Sintesi!C12</f>
        <v>0.1</v>
      </c>
      <c r="M10" s="38"/>
      <c r="N10" s="39" t="s">
        <v>56</v>
      </c>
      <c r="O10" s="8">
        <f>+O9-J10-J11</f>
        <v>-86803.311413649004</v>
      </c>
      <c r="P10" s="30"/>
      <c r="Q10" s="90"/>
      <c r="R10" s="89"/>
      <c r="S10" s="90"/>
      <c r="T10" s="89"/>
      <c r="U10" s="90"/>
    </row>
    <row r="11" spans="1:21" ht="27" customHeight="1" thickBot="1" x14ac:dyDescent="0.3">
      <c r="C11" s="34" t="s">
        <v>44</v>
      </c>
      <c r="D11" s="40">
        <f>D9+VLOOKUP(S20,Input!A1:B5,2,0)/100</f>
        <v>7.6399999999999996E-2</v>
      </c>
      <c r="F11" s="41"/>
      <c r="G11" s="42"/>
      <c r="H11" s="43"/>
      <c r="I11" s="32" t="s">
        <v>8</v>
      </c>
      <c r="J11" s="36">
        <f>IF(J12="No",0,MIN(L9*L11,100000))</f>
        <v>100000</v>
      </c>
      <c r="K11" s="9" t="s">
        <v>51</v>
      </c>
      <c r="L11" s="6">
        <v>0.1</v>
      </c>
      <c r="M11" s="5"/>
      <c r="N11" s="44" t="s">
        <v>64</v>
      </c>
      <c r="O11" s="45" t="str">
        <f>+Input!E4</f>
        <v>6; 7; 8; 9</v>
      </c>
      <c r="P11" s="30"/>
      <c r="Q11" s="90"/>
      <c r="R11" s="89"/>
      <c r="S11" s="90"/>
    </row>
    <row r="12" spans="1:21" s="15" customFormat="1" ht="20.45" customHeight="1" thickBot="1" x14ac:dyDescent="0.3">
      <c r="B12" s="16"/>
      <c r="C12" s="16"/>
      <c r="G12" s="16"/>
      <c r="I12" s="46" t="s">
        <v>18</v>
      </c>
      <c r="J12" s="47" t="str">
        <f>VLOOKUP(Sintesi!C8,Input!J2:K3,2,FALSE)</f>
        <v>Sì</v>
      </c>
      <c r="K12" s="48" t="s">
        <v>65</v>
      </c>
      <c r="L12" s="49" t="s">
        <v>65</v>
      </c>
      <c r="M12" s="50"/>
      <c r="N12" s="16"/>
      <c r="O12" s="51"/>
      <c r="Q12" s="86"/>
      <c r="R12" s="86"/>
      <c r="S12" s="86"/>
      <c r="T12" s="86"/>
      <c r="U12" s="86"/>
    </row>
    <row r="13" spans="1:21" s="15" customFormat="1" ht="8.4499999999999993" customHeight="1" x14ac:dyDescent="0.25">
      <c r="B13" s="16"/>
      <c r="C13" s="16"/>
      <c r="H13" s="52"/>
      <c r="I13" s="53"/>
      <c r="J13" s="54"/>
      <c r="K13" s="54"/>
      <c r="L13" s="54"/>
      <c r="N13" s="51"/>
      <c r="Q13" s="86"/>
      <c r="R13" s="86"/>
      <c r="S13" s="86"/>
      <c r="T13" s="86"/>
      <c r="U13" s="86"/>
    </row>
    <row r="14" spans="1:21" s="15" customFormat="1" ht="15.75" thickBot="1" x14ac:dyDescent="0.3">
      <c r="B14" s="16"/>
      <c r="C14" s="16"/>
      <c r="H14" s="52"/>
      <c r="I14" s="53"/>
      <c r="J14" s="54"/>
      <c r="K14" s="54"/>
      <c r="L14" s="54"/>
      <c r="N14" s="51"/>
      <c r="Q14" s="86"/>
      <c r="R14" s="86"/>
      <c r="S14" s="86"/>
      <c r="T14" s="86"/>
      <c r="U14" s="86"/>
    </row>
    <row r="15" spans="1:21" s="15" customFormat="1" ht="27.6" customHeight="1" thickBot="1" x14ac:dyDescent="0.3">
      <c r="B15" s="124" t="s">
        <v>53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  <c r="Q15" s="86"/>
      <c r="R15" s="86"/>
      <c r="S15" s="86"/>
      <c r="T15" s="86"/>
      <c r="U15" s="86"/>
    </row>
    <row r="16" spans="1:21" s="15" customFormat="1" ht="9.6" customHeight="1" thickBot="1" x14ac:dyDescent="0.3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  <c r="P16" s="55"/>
      <c r="Q16" s="86"/>
      <c r="R16" s="86"/>
      <c r="S16" s="86"/>
      <c r="T16" s="86"/>
      <c r="U16" s="86"/>
    </row>
    <row r="17" spans="2:21" s="57" customFormat="1" ht="40.5" customHeight="1" x14ac:dyDescent="0.25">
      <c r="C17" s="58" t="s">
        <v>37</v>
      </c>
      <c r="D17" s="58" t="s">
        <v>5</v>
      </c>
      <c r="E17" s="58" t="s">
        <v>54</v>
      </c>
      <c r="F17" s="58" t="s">
        <v>36</v>
      </c>
      <c r="G17" s="58" t="s">
        <v>4</v>
      </c>
      <c r="H17" s="59" t="s">
        <v>57</v>
      </c>
      <c r="I17" s="59" t="s">
        <v>58</v>
      </c>
      <c r="J17" s="59" t="s">
        <v>59</v>
      </c>
      <c r="K17" s="59" t="s">
        <v>60</v>
      </c>
      <c r="L17" s="59" t="s">
        <v>61</v>
      </c>
      <c r="M17" s="58" t="s">
        <v>6</v>
      </c>
      <c r="N17" s="60" t="s">
        <v>66</v>
      </c>
      <c r="Q17" s="92"/>
      <c r="R17" s="92"/>
      <c r="S17" s="92"/>
      <c r="T17" s="92"/>
      <c r="U17" s="93"/>
    </row>
    <row r="18" spans="2:21" x14ac:dyDescent="0.25">
      <c r="C18" s="61">
        <v>1</v>
      </c>
      <c r="D18" s="62">
        <f t="shared" ref="D18:D29" si="0">IF(E18="Preamm",0,D17+1)</f>
        <v>0</v>
      </c>
      <c r="E18" s="62" t="str">
        <f>IF(C18&lt;=$Q$19,(IF(C18&lt;=$Q$20,"Preamm","Amm")),"-")</f>
        <v>Preamm</v>
      </c>
      <c r="F18" s="63">
        <f t="shared" ref="F18:F25" si="1">-IF(E18="","",IF(E18="Preamm",0,(PMT($D$9,$Q$18,$J$9,0,0))))</f>
        <v>0</v>
      </c>
      <c r="G18" s="63">
        <f t="shared" ref="G18:G29" si="2">IF(F18=0,0,$J$9/$Q$18)</f>
        <v>0</v>
      </c>
      <c r="H18" s="63">
        <f t="shared" ref="H18:H29" si="3">IF(E18="","",IF(D18=0,($J$9*($D$10/2)),-IPMT($D$10/2,D18,$Q$18,$J$9,0,0)))</f>
        <v>2088</v>
      </c>
      <c r="I18" s="63">
        <f t="shared" ref="I18:I29" si="4">IF(E18="","",IF(D18=0,($J$9*($D$9/2)),-IPMT($D$9/2,D18,$Q$18,$J$9,0,0)))</f>
        <v>20880</v>
      </c>
      <c r="J18" s="63">
        <f t="shared" ref="J18:J29" si="5">IF(E18="","",IF(D18=0,($J$9*($D$11/2)),-IPMT($D$11/2,D18,$Q$18,$J$9,0,0)))</f>
        <v>34380</v>
      </c>
      <c r="K18" s="63">
        <f>IF(G18=0,0,G18)</f>
        <v>0</v>
      </c>
      <c r="L18" s="94">
        <f>$J$9-K18</f>
        <v>900000</v>
      </c>
      <c r="M18" s="63">
        <f>IF(H18="","",J18-H18)</f>
        <v>32292</v>
      </c>
      <c r="N18" s="64">
        <f t="shared" ref="N18:N29" si="6">IF(M18="","",M18/((1+$D$9)^(C18/2)))</f>
        <v>31567.928068988109</v>
      </c>
      <c r="P18" s="65" t="s">
        <v>1</v>
      </c>
      <c r="Q18" s="66">
        <f>+Q19-Q20</f>
        <v>8</v>
      </c>
      <c r="R18" s="67"/>
      <c r="S18" s="68"/>
      <c r="T18" s="95"/>
    </row>
    <row r="19" spans="2:21" x14ac:dyDescent="0.25">
      <c r="C19" s="61">
        <v>2</v>
      </c>
      <c r="D19" s="62">
        <f t="shared" si="0"/>
        <v>0</v>
      </c>
      <c r="E19" s="62" t="str">
        <f t="shared" ref="E19:E29" si="7">IF(C19&lt;=$Q$19,(IF(C19&lt;=$Q$20,"Preamm","Amm")),"")</f>
        <v>Preamm</v>
      </c>
      <c r="F19" s="63">
        <f t="shared" si="1"/>
        <v>0</v>
      </c>
      <c r="G19" s="63">
        <f t="shared" si="2"/>
        <v>0</v>
      </c>
      <c r="H19" s="63">
        <f t="shared" si="3"/>
        <v>2088</v>
      </c>
      <c r="I19" s="63">
        <f t="shared" si="4"/>
        <v>20880</v>
      </c>
      <c r="J19" s="63">
        <f t="shared" si="5"/>
        <v>34380</v>
      </c>
      <c r="K19" s="63">
        <f t="shared" ref="K19:K29" si="8">+K18+G19</f>
        <v>0</v>
      </c>
      <c r="L19" s="63">
        <f t="shared" ref="L19:L29" si="9">$J$9-K19</f>
        <v>900000</v>
      </c>
      <c r="M19" s="63">
        <f t="shared" ref="M19:M29" si="10">IF(H19="","",J19-H19)</f>
        <v>32292</v>
      </c>
      <c r="N19" s="64">
        <f t="shared" si="6"/>
        <v>30860.091743119265</v>
      </c>
      <c r="P19" s="67" t="s">
        <v>9</v>
      </c>
      <c r="Q19" s="68">
        <f>VLOOKUP(G9,Input!$M$2:$O$7,3,0)</f>
        <v>12</v>
      </c>
      <c r="R19" s="67" t="s">
        <v>2</v>
      </c>
      <c r="S19" s="68">
        <v>360</v>
      </c>
      <c r="T19" s="95"/>
    </row>
    <row r="20" spans="2:21" x14ac:dyDescent="0.25">
      <c r="C20" s="61">
        <v>3</v>
      </c>
      <c r="D20" s="62">
        <f t="shared" si="0"/>
        <v>0</v>
      </c>
      <c r="E20" s="62" t="str">
        <f t="shared" si="7"/>
        <v>Preamm</v>
      </c>
      <c r="F20" s="63">
        <f t="shared" si="1"/>
        <v>0</v>
      </c>
      <c r="G20" s="63">
        <f t="shared" si="2"/>
        <v>0</v>
      </c>
      <c r="H20" s="63">
        <f t="shared" si="3"/>
        <v>2088</v>
      </c>
      <c r="I20" s="63">
        <f t="shared" si="4"/>
        <v>20880</v>
      </c>
      <c r="J20" s="63">
        <f t="shared" si="5"/>
        <v>34380</v>
      </c>
      <c r="K20" s="63">
        <f t="shared" si="8"/>
        <v>0</v>
      </c>
      <c r="L20" s="63">
        <f t="shared" si="9"/>
        <v>900000</v>
      </c>
      <c r="M20" s="63">
        <f t="shared" si="10"/>
        <v>32292</v>
      </c>
      <c r="N20" s="64">
        <f t="shared" si="6"/>
        <v>30168.126977243988</v>
      </c>
      <c r="P20" s="67" t="s">
        <v>0</v>
      </c>
      <c r="Q20" s="68">
        <f>VLOOKUP(G9,Input!$M$2:$P$7,4,0)</f>
        <v>4</v>
      </c>
      <c r="R20" s="67" t="s">
        <v>3</v>
      </c>
      <c r="S20" s="68">
        <f>VLOOKUP(O11,Input!$E$2:$F$4,2,0)</f>
        <v>3</v>
      </c>
      <c r="T20" s="95"/>
    </row>
    <row r="21" spans="2:21" x14ac:dyDescent="0.25">
      <c r="C21" s="61">
        <v>4</v>
      </c>
      <c r="D21" s="62">
        <f t="shared" si="0"/>
        <v>0</v>
      </c>
      <c r="E21" s="62" t="str">
        <f t="shared" si="7"/>
        <v>Preamm</v>
      </c>
      <c r="F21" s="63">
        <f t="shared" si="1"/>
        <v>0</v>
      </c>
      <c r="G21" s="63">
        <f t="shared" si="2"/>
        <v>0</v>
      </c>
      <c r="H21" s="63">
        <f t="shared" si="3"/>
        <v>2088</v>
      </c>
      <c r="I21" s="63">
        <f t="shared" si="4"/>
        <v>20880</v>
      </c>
      <c r="J21" s="63">
        <f t="shared" si="5"/>
        <v>34380</v>
      </c>
      <c r="K21" s="63">
        <f t="shared" si="8"/>
        <v>0</v>
      </c>
      <c r="L21" s="63">
        <f t="shared" si="9"/>
        <v>900000</v>
      </c>
      <c r="M21" s="63">
        <f t="shared" si="10"/>
        <v>32292</v>
      </c>
      <c r="N21" s="64">
        <f t="shared" si="6"/>
        <v>29491.677889066574</v>
      </c>
      <c r="Q21" s="95"/>
      <c r="R21" s="95"/>
      <c r="S21" s="95"/>
      <c r="T21" s="95"/>
    </row>
    <row r="22" spans="2:21" x14ac:dyDescent="0.25">
      <c r="C22" s="61">
        <v>5</v>
      </c>
      <c r="D22" s="62">
        <f t="shared" si="0"/>
        <v>1</v>
      </c>
      <c r="E22" s="62" t="str">
        <f t="shared" si="7"/>
        <v>Amm</v>
      </c>
      <c r="F22" s="63">
        <f t="shared" si="1"/>
        <v>137230.21161265139</v>
      </c>
      <c r="G22" s="63">
        <f t="shared" si="2"/>
        <v>112500</v>
      </c>
      <c r="H22" s="63">
        <f t="shared" si="3"/>
        <v>2088</v>
      </c>
      <c r="I22" s="63">
        <f t="shared" si="4"/>
        <v>20880</v>
      </c>
      <c r="J22" s="63">
        <f t="shared" si="5"/>
        <v>34379.999999999993</v>
      </c>
      <c r="K22" s="63">
        <f t="shared" si="8"/>
        <v>112500</v>
      </c>
      <c r="L22" s="63">
        <f t="shared" si="9"/>
        <v>787500</v>
      </c>
      <c r="M22" s="63">
        <f t="shared" si="10"/>
        <v>32291.999999999993</v>
      </c>
      <c r="N22" s="64">
        <f t="shared" si="6"/>
        <v>28830.396576112365</v>
      </c>
    </row>
    <row r="23" spans="2:21" x14ac:dyDescent="0.25">
      <c r="C23" s="61">
        <v>6</v>
      </c>
      <c r="D23" s="62">
        <f t="shared" si="0"/>
        <v>2</v>
      </c>
      <c r="E23" s="62" t="str">
        <f t="shared" si="7"/>
        <v>Amm</v>
      </c>
      <c r="F23" s="63">
        <f t="shared" si="1"/>
        <v>137230.21161265139</v>
      </c>
      <c r="G23" s="63">
        <f t="shared" si="2"/>
        <v>112500</v>
      </c>
      <c r="H23" s="63">
        <f t="shared" si="3"/>
        <v>1829.1119533513167</v>
      </c>
      <c r="I23" s="63">
        <f t="shared" si="4"/>
        <v>18474.645169917269</v>
      </c>
      <c r="J23" s="63">
        <f t="shared" si="5"/>
        <v>30624.814910092271</v>
      </c>
      <c r="K23" s="63">
        <f t="shared" si="8"/>
        <v>225000</v>
      </c>
      <c r="L23" s="63">
        <f t="shared" si="9"/>
        <v>675000</v>
      </c>
      <c r="M23" s="63">
        <f t="shared" si="10"/>
        <v>28795.702956740955</v>
      </c>
      <c r="N23" s="64">
        <f t="shared" si="6"/>
        <v>25132.43060069999</v>
      </c>
    </row>
    <row r="24" spans="2:21" x14ac:dyDescent="0.25">
      <c r="C24" s="61">
        <v>7</v>
      </c>
      <c r="D24" s="62">
        <f t="shared" si="0"/>
        <v>3</v>
      </c>
      <c r="E24" s="62" t="str">
        <f t="shared" si="7"/>
        <v>Amm</v>
      </c>
      <c r="F24" s="63">
        <f t="shared" si="1"/>
        <v>137230.21161265139</v>
      </c>
      <c r="G24" s="63">
        <f t="shared" si="2"/>
        <v>112500</v>
      </c>
      <c r="H24" s="63">
        <f t="shared" si="3"/>
        <v>1569.6232864344086</v>
      </c>
      <c r="I24" s="63">
        <f t="shared" si="4"/>
        <v>16013.48610777662</v>
      </c>
      <c r="J24" s="63">
        <f t="shared" si="5"/>
        <v>26726.181749750067</v>
      </c>
      <c r="K24" s="63">
        <f t="shared" si="8"/>
        <v>337500</v>
      </c>
      <c r="L24" s="63">
        <f t="shared" si="9"/>
        <v>562500</v>
      </c>
      <c r="M24" s="63">
        <f t="shared" si="10"/>
        <v>25156.558463315658</v>
      </c>
      <c r="N24" s="64">
        <f t="shared" si="6"/>
        <v>21463.926320510385</v>
      </c>
    </row>
    <row r="25" spans="2:21" x14ac:dyDescent="0.25">
      <c r="C25" s="61">
        <v>8</v>
      </c>
      <c r="D25" s="62">
        <f t="shared" si="0"/>
        <v>4</v>
      </c>
      <c r="E25" s="62" t="str">
        <f t="shared" si="7"/>
        <v>Amm</v>
      </c>
      <c r="F25" s="63">
        <f t="shared" si="1"/>
        <v>137230.21161265139</v>
      </c>
      <c r="G25" s="63">
        <f t="shared" si="2"/>
        <v>112500</v>
      </c>
      <c r="H25" s="63">
        <f t="shared" si="3"/>
        <v>1309.5326058102532</v>
      </c>
      <c r="I25" s="63">
        <f t="shared" si="4"/>
        <v>13495.228155394314</v>
      </c>
      <c r="J25" s="63">
        <f t="shared" si="5"/>
        <v>22678.620802682788</v>
      </c>
      <c r="K25" s="63">
        <f t="shared" si="8"/>
        <v>450000</v>
      </c>
      <c r="L25" s="63">
        <f t="shared" si="9"/>
        <v>450000</v>
      </c>
      <c r="M25" s="63">
        <f>IF(H25="","",J25-H25)</f>
        <v>21369.088196872533</v>
      </c>
      <c r="N25" s="64">
        <f t="shared" si="6"/>
        <v>17823.585246686842</v>
      </c>
    </row>
    <row r="26" spans="2:21" x14ac:dyDescent="0.25">
      <c r="C26" s="61">
        <v>9</v>
      </c>
      <c r="D26" s="62">
        <f t="shared" si="0"/>
        <v>5</v>
      </c>
      <c r="E26" s="62" t="str">
        <f t="shared" si="7"/>
        <v>Amm</v>
      </c>
      <c r="F26" s="63">
        <f>-IF(E26="",0,IF(E26="Preamm",0,(PMT($D$9,$Q$18,$J$9,0,0))))</f>
        <v>137230.21161265139</v>
      </c>
      <c r="G26" s="63">
        <f t="shared" si="2"/>
        <v>112500</v>
      </c>
      <c r="H26" s="63">
        <f t="shared" si="3"/>
        <v>1048.8385148070495</v>
      </c>
      <c r="I26" s="63">
        <f t="shared" si="4"/>
        <v>10918.546618516733</v>
      </c>
      <c r="J26" s="63">
        <f t="shared" si="5"/>
        <v>18476.443027437545</v>
      </c>
      <c r="K26" s="63">
        <f t="shared" si="8"/>
        <v>562500</v>
      </c>
      <c r="L26" s="63">
        <f t="shared" si="9"/>
        <v>337500</v>
      </c>
      <c r="M26" s="63">
        <f t="shared" si="10"/>
        <v>17427.604512630496</v>
      </c>
      <c r="N26" s="64">
        <f t="shared" si="6"/>
        <v>14210.125268847592</v>
      </c>
    </row>
    <row r="27" spans="2:21" x14ac:dyDescent="0.25">
      <c r="C27" s="61">
        <v>10</v>
      </c>
      <c r="D27" s="62">
        <f t="shared" si="0"/>
        <v>6</v>
      </c>
      <c r="E27" s="62" t="str">
        <f t="shared" si="7"/>
        <v>Amm</v>
      </c>
      <c r="F27" s="63">
        <f>-IF(E27="",0,IF(E27="Preamm",0,(PMT($D$9,$Q$18,$J$9,0,0))))</f>
        <v>137230.21161265139</v>
      </c>
      <c r="G27" s="63">
        <f t="shared" si="2"/>
        <v>112500</v>
      </c>
      <c r="H27" s="63">
        <f t="shared" si="3"/>
        <v>787.53961351271846</v>
      </c>
      <c r="I27" s="63">
        <f t="shared" si="4"/>
        <v>8282.0860699835939</v>
      </c>
      <c r="J27" s="63">
        <f t="shared" si="5"/>
        <v>14113.742061177927</v>
      </c>
      <c r="K27" s="63">
        <f t="shared" si="8"/>
        <v>675000</v>
      </c>
      <c r="L27" s="63">
        <f t="shared" si="9"/>
        <v>225000</v>
      </c>
      <c r="M27" s="63">
        <f t="shared" si="10"/>
        <v>13326.202447665208</v>
      </c>
      <c r="N27" s="64">
        <f t="shared" si="6"/>
        <v>10622.28016267521</v>
      </c>
    </row>
    <row r="28" spans="2:21" x14ac:dyDescent="0.25">
      <c r="C28" s="61">
        <v>11</v>
      </c>
      <c r="D28" s="62">
        <f t="shared" si="0"/>
        <v>7</v>
      </c>
      <c r="E28" s="62" t="str">
        <f t="shared" si="7"/>
        <v>Amm</v>
      </c>
      <c r="F28" s="63">
        <f>-IF(E28="",0,IF(E28="Preamm",0,(PMT($D$9,$Q$18,$J$9,0,0))))</f>
        <v>137230.21161265139</v>
      </c>
      <c r="G28" s="63">
        <f t="shared" si="2"/>
        <v>112500</v>
      </c>
      <c r="H28" s="63">
        <f t="shared" si="3"/>
        <v>525.63449876738468</v>
      </c>
      <c r="I28" s="63">
        <f t="shared" si="4"/>
        <v>5584.4596367244858</v>
      </c>
      <c r="J28" s="63">
        <f t="shared" si="5"/>
        <v>9584.3859180071922</v>
      </c>
      <c r="K28" s="63">
        <f t="shared" si="8"/>
        <v>787500</v>
      </c>
      <c r="L28" s="63">
        <f t="shared" si="9"/>
        <v>112500</v>
      </c>
      <c r="M28" s="63">
        <f t="shared" si="10"/>
        <v>9058.7514192398085</v>
      </c>
      <c r="N28" s="64">
        <f t="shared" si="6"/>
        <v>7058.7991053721034</v>
      </c>
    </row>
    <row r="29" spans="2:21" x14ac:dyDescent="0.25">
      <c r="C29" s="61">
        <v>12</v>
      </c>
      <c r="D29" s="62">
        <f t="shared" si="0"/>
        <v>8</v>
      </c>
      <c r="E29" s="62" t="str">
        <f t="shared" si="7"/>
        <v>Amm</v>
      </c>
      <c r="F29" s="63">
        <f>-IF(E29="",0,IF(E29="Preamm",0,(PMT($D$9,$Q$18,$J$9,0,0))))</f>
        <v>137230.21161265139</v>
      </c>
      <c r="G29" s="63">
        <f t="shared" si="2"/>
        <v>112500</v>
      </c>
      <c r="H29" s="63">
        <f t="shared" si="3"/>
        <v>263.12176415584179</v>
      </c>
      <c r="I29" s="63">
        <f t="shared" si="4"/>
        <v>2824.2482702137677</v>
      </c>
      <c r="J29" s="63">
        <f t="shared" si="5"/>
        <v>4882.0083701673366</v>
      </c>
      <c r="K29" s="63">
        <f t="shared" si="8"/>
        <v>900000</v>
      </c>
      <c r="L29" s="63">
        <f t="shared" si="9"/>
        <v>0</v>
      </c>
      <c r="M29" s="63">
        <f t="shared" si="10"/>
        <v>4618.8866060114951</v>
      </c>
      <c r="N29" s="64">
        <f t="shared" si="6"/>
        <v>3518.4461987842951</v>
      </c>
    </row>
    <row r="30" spans="2:21" s="69" customFormat="1" ht="20.45" customHeight="1" thickBot="1" x14ac:dyDescent="0.3">
      <c r="C30" s="127" t="s">
        <v>67</v>
      </c>
      <c r="D30" s="128"/>
      <c r="E30" s="128"/>
      <c r="F30" s="70">
        <f>SUM(F18:F29)</f>
        <v>1097841.6929012111</v>
      </c>
      <c r="G30" s="71">
        <f>SUM(G18:G29)</f>
        <v>900000</v>
      </c>
      <c r="H30" s="71">
        <f>SUM(H18:H29)</f>
        <v>17773.402236838974</v>
      </c>
      <c r="I30" s="71">
        <f>SUM(I18:I29)</f>
        <v>179992.7000285268</v>
      </c>
      <c r="J30" s="71">
        <f>SUM(J18:J29)</f>
        <v>298986.19683931512</v>
      </c>
      <c r="K30" s="71"/>
      <c r="L30" s="72"/>
      <c r="M30" s="71">
        <f t="shared" ref="M30:N30" si="11">SUM(M18:M29)</f>
        <v>281212.79460247612</v>
      </c>
      <c r="N30" s="73">
        <f t="shared" si="11"/>
        <v>250747.81415810675</v>
      </c>
      <c r="Q30" s="96"/>
      <c r="R30" s="96"/>
      <c r="S30" s="96"/>
      <c r="T30" s="96"/>
      <c r="U30" s="96"/>
    </row>
    <row r="31" spans="2:21" s="74" customFormat="1" x14ac:dyDescent="0.25">
      <c r="B31" s="20"/>
      <c r="C31" s="20"/>
      <c r="E31" s="20"/>
      <c r="F31" s="75"/>
      <c r="H31" s="76"/>
      <c r="I31" s="75"/>
      <c r="J31" s="75"/>
      <c r="K31" s="75"/>
      <c r="L31" s="75"/>
      <c r="M31" s="75"/>
      <c r="N31" s="75"/>
      <c r="O31" s="75"/>
      <c r="P31" s="75"/>
      <c r="Q31" s="97"/>
      <c r="R31" s="97"/>
      <c r="S31" s="97"/>
      <c r="T31" s="97"/>
      <c r="U31" s="97"/>
    </row>
    <row r="32" spans="2:21" s="74" customFormat="1" x14ac:dyDescent="0.25">
      <c r="F32" s="77"/>
      <c r="H32" s="76"/>
      <c r="I32" s="76"/>
      <c r="J32" s="76"/>
      <c r="K32" s="76"/>
      <c r="L32" s="76"/>
      <c r="M32" s="76"/>
      <c r="N32" s="76"/>
      <c r="O32" s="78"/>
      <c r="P32" s="78"/>
      <c r="Q32" s="97"/>
      <c r="R32" s="97"/>
      <c r="S32" s="97"/>
      <c r="T32" s="97"/>
      <c r="U32" s="97"/>
    </row>
    <row r="33" spans="2:21" s="74" customFormat="1" x14ac:dyDescent="0.25">
      <c r="F33" s="77"/>
      <c r="H33" s="76"/>
      <c r="I33" s="76"/>
      <c r="J33" s="76"/>
      <c r="K33" s="76"/>
      <c r="L33" s="76"/>
      <c r="M33" s="76"/>
      <c r="N33" s="76"/>
      <c r="O33" s="78"/>
      <c r="P33" s="78"/>
      <c r="Q33" s="97"/>
      <c r="R33" s="97"/>
      <c r="S33" s="97"/>
      <c r="T33" s="97"/>
      <c r="U33" s="97"/>
    </row>
    <row r="34" spans="2:21" s="74" customFormat="1" x14ac:dyDescent="0.25">
      <c r="F34" s="77"/>
      <c r="H34" s="76"/>
      <c r="I34" s="76"/>
      <c r="J34" s="76"/>
      <c r="K34" s="76"/>
      <c r="L34" s="76"/>
      <c r="M34" s="76"/>
      <c r="N34" s="76"/>
      <c r="O34" s="78"/>
      <c r="P34" s="78"/>
      <c r="Q34" s="97"/>
      <c r="R34" s="97"/>
      <c r="S34" s="97"/>
      <c r="T34" s="97"/>
      <c r="U34" s="97"/>
    </row>
    <row r="35" spans="2:21" s="74" customFormat="1" x14ac:dyDescent="0.25">
      <c r="F35" s="77"/>
      <c r="H35" s="76"/>
      <c r="I35" s="76"/>
      <c r="J35" s="76"/>
      <c r="K35" s="76"/>
      <c r="L35" s="76"/>
      <c r="M35" s="76"/>
      <c r="N35" s="76"/>
      <c r="O35" s="78"/>
      <c r="P35" s="78"/>
      <c r="Q35" s="97"/>
      <c r="R35" s="97"/>
      <c r="S35" s="97"/>
      <c r="T35" s="97"/>
      <c r="U35" s="97"/>
    </row>
    <row r="36" spans="2:21" ht="21.6" customHeight="1" x14ac:dyDescent="0.25">
      <c r="B36" s="79"/>
      <c r="C36" s="79"/>
      <c r="E36" s="79"/>
      <c r="F36" s="79"/>
      <c r="H36" s="79"/>
      <c r="I36" s="79"/>
      <c r="J36" s="79"/>
      <c r="K36" s="79"/>
      <c r="L36" s="79"/>
      <c r="M36" s="79"/>
      <c r="N36" s="79"/>
      <c r="O36" s="79"/>
      <c r="P36" s="79"/>
    </row>
    <row r="37" spans="2:21" s="74" customFormat="1" x14ac:dyDescent="0.25">
      <c r="B37" s="20"/>
      <c r="C37" s="3"/>
      <c r="E37" s="20"/>
      <c r="F37" s="1"/>
      <c r="H37" s="2"/>
      <c r="I37" s="20"/>
      <c r="J37" s="80"/>
      <c r="K37" s="80"/>
      <c r="L37" s="80"/>
      <c r="M37" s="20"/>
      <c r="N37" s="1"/>
      <c r="O37" s="20"/>
      <c r="P37" s="1"/>
      <c r="Q37" s="97"/>
      <c r="R37" s="97"/>
      <c r="S37" s="97"/>
      <c r="T37" s="97"/>
      <c r="U37" s="97"/>
    </row>
    <row r="38" spans="2:21" s="74" customFormat="1" x14ac:dyDescent="0.25">
      <c r="B38" s="20"/>
      <c r="C38" s="3"/>
      <c r="E38" s="20"/>
      <c r="F38" s="2"/>
      <c r="H38" s="2"/>
      <c r="I38" s="20"/>
      <c r="J38" s="1"/>
      <c r="K38" s="1"/>
      <c r="L38" s="1"/>
      <c r="M38" s="20"/>
      <c r="N38" s="3"/>
      <c r="O38" s="20"/>
      <c r="P38" s="1"/>
      <c r="Q38" s="97"/>
      <c r="R38" s="97"/>
      <c r="S38" s="97"/>
      <c r="T38" s="97"/>
      <c r="U38" s="97"/>
    </row>
    <row r="39" spans="2:21" s="74" customFormat="1" x14ac:dyDescent="0.25">
      <c r="B39" s="20"/>
      <c r="C39" s="3"/>
      <c r="E39" s="20"/>
      <c r="F39" s="2"/>
      <c r="H39" s="2"/>
      <c r="I39" s="20"/>
      <c r="J39" s="4"/>
      <c r="K39" s="4"/>
      <c r="L39" s="4"/>
      <c r="M39" s="20"/>
      <c r="N39" s="1"/>
      <c r="O39" s="20"/>
      <c r="P39" s="81"/>
      <c r="Q39" s="97"/>
      <c r="R39" s="97"/>
      <c r="S39" s="97"/>
      <c r="T39" s="97"/>
      <c r="U39" s="97"/>
    </row>
    <row r="40" spans="2:21" s="74" customFormat="1" x14ac:dyDescent="0.25">
      <c r="B40" s="2"/>
      <c r="C40" s="2"/>
      <c r="E40" s="2"/>
      <c r="F40" s="2"/>
      <c r="H40" s="2"/>
      <c r="I40" s="20"/>
      <c r="J40" s="50"/>
      <c r="K40" s="50"/>
      <c r="L40" s="50"/>
      <c r="M40" s="20"/>
      <c r="N40" s="4"/>
      <c r="O40" s="2"/>
      <c r="P40" s="2"/>
      <c r="Q40" s="97"/>
      <c r="R40" s="97"/>
      <c r="S40" s="97"/>
      <c r="T40" s="97"/>
      <c r="U40" s="97"/>
    </row>
    <row r="41" spans="2:21" ht="8.4499999999999993" customHeight="1" x14ac:dyDescent="0.25">
      <c r="I41" s="82"/>
      <c r="J41" s="83"/>
      <c r="K41" s="83"/>
      <c r="L41" s="83"/>
      <c r="N41" s="84"/>
    </row>
    <row r="42" spans="2:21" s="74" customFormat="1" ht="34.5" customHeight="1" x14ac:dyDescent="0.25">
      <c r="B42" s="52"/>
      <c r="C42" s="52"/>
      <c r="E42" s="52"/>
      <c r="F42" s="52"/>
      <c r="H42" s="52"/>
      <c r="I42" s="52"/>
      <c r="J42" s="52"/>
      <c r="K42" s="52"/>
      <c r="L42" s="52"/>
      <c r="M42" s="52"/>
      <c r="N42" s="52"/>
      <c r="O42" s="52"/>
      <c r="P42" s="52"/>
      <c r="Q42" s="97"/>
      <c r="R42" s="97"/>
      <c r="S42" s="97"/>
      <c r="T42" s="97"/>
      <c r="U42" s="97"/>
    </row>
    <row r="43" spans="2:21" s="74" customFormat="1" x14ac:dyDescent="0.25">
      <c r="B43" s="62"/>
      <c r="C43" s="62"/>
      <c r="E43" s="62"/>
      <c r="F43" s="1"/>
      <c r="H43" s="1"/>
      <c r="I43" s="1"/>
      <c r="J43" s="1"/>
      <c r="K43" s="1"/>
      <c r="L43" s="1"/>
      <c r="M43" s="1"/>
      <c r="N43" s="1"/>
      <c r="O43" s="1"/>
      <c r="P43" s="1"/>
      <c r="Q43" s="97"/>
      <c r="R43" s="97"/>
      <c r="S43" s="97"/>
      <c r="T43" s="97"/>
      <c r="U43" s="97"/>
    </row>
    <row r="44" spans="2:21" s="74" customFormat="1" x14ac:dyDescent="0.25">
      <c r="B44" s="62"/>
      <c r="C44" s="62"/>
      <c r="E44" s="62"/>
      <c r="F44" s="1"/>
      <c r="H44" s="1"/>
      <c r="I44" s="1"/>
      <c r="J44" s="1"/>
      <c r="K44" s="1"/>
      <c r="L44" s="1"/>
      <c r="M44" s="1"/>
      <c r="N44" s="1"/>
      <c r="O44" s="1"/>
      <c r="P44" s="1"/>
      <c r="Q44" s="97"/>
      <c r="R44" s="97"/>
      <c r="S44" s="97"/>
      <c r="T44" s="97"/>
      <c r="U44" s="97"/>
    </row>
    <row r="45" spans="2:21" s="74" customFormat="1" x14ac:dyDescent="0.25">
      <c r="B45" s="62"/>
      <c r="C45" s="62"/>
      <c r="E45" s="62"/>
      <c r="F45" s="1"/>
      <c r="H45" s="1"/>
      <c r="I45" s="1"/>
      <c r="J45" s="1"/>
      <c r="K45" s="1"/>
      <c r="L45" s="1"/>
      <c r="M45" s="1"/>
      <c r="N45" s="1"/>
      <c r="O45" s="1"/>
      <c r="P45" s="1"/>
      <c r="Q45" s="97"/>
      <c r="R45" s="97"/>
      <c r="S45" s="97"/>
      <c r="T45" s="97"/>
      <c r="U45" s="97"/>
    </row>
    <row r="46" spans="2:21" s="74" customFormat="1" x14ac:dyDescent="0.25">
      <c r="B46" s="62"/>
      <c r="C46" s="62"/>
      <c r="E46" s="62"/>
      <c r="F46" s="1"/>
      <c r="H46" s="1"/>
      <c r="I46" s="1"/>
      <c r="J46" s="1"/>
      <c r="K46" s="1"/>
      <c r="L46" s="1"/>
      <c r="M46" s="1"/>
      <c r="N46" s="1"/>
      <c r="O46" s="1"/>
      <c r="P46" s="1"/>
      <c r="Q46" s="97"/>
      <c r="R46" s="97"/>
      <c r="S46" s="97"/>
      <c r="T46" s="97"/>
      <c r="U46" s="97"/>
    </row>
    <row r="47" spans="2:21" s="74" customFormat="1" x14ac:dyDescent="0.25">
      <c r="B47" s="62"/>
      <c r="C47" s="62"/>
      <c r="E47" s="62"/>
      <c r="F47" s="1"/>
      <c r="H47" s="1"/>
      <c r="I47" s="1"/>
      <c r="J47" s="1"/>
      <c r="K47" s="1"/>
      <c r="L47" s="1"/>
      <c r="M47" s="1"/>
      <c r="N47" s="1"/>
      <c r="O47" s="1"/>
      <c r="P47" s="1"/>
      <c r="Q47" s="97"/>
      <c r="R47" s="97"/>
      <c r="S47" s="97"/>
      <c r="T47" s="97"/>
      <c r="U47" s="97"/>
    </row>
    <row r="48" spans="2:21" s="74" customFormat="1" x14ac:dyDescent="0.25">
      <c r="B48" s="62"/>
      <c r="C48" s="62"/>
      <c r="E48" s="62"/>
      <c r="F48" s="1"/>
      <c r="H48" s="1"/>
      <c r="I48" s="1"/>
      <c r="J48" s="1"/>
      <c r="K48" s="1"/>
      <c r="L48" s="1"/>
      <c r="M48" s="1"/>
      <c r="N48" s="1"/>
      <c r="O48" s="1"/>
      <c r="P48" s="1"/>
      <c r="Q48" s="97"/>
      <c r="R48" s="97"/>
      <c r="S48" s="97"/>
      <c r="T48" s="97"/>
      <c r="U48" s="97"/>
    </row>
    <row r="49" spans="2:21" s="74" customFormat="1" x14ac:dyDescent="0.25">
      <c r="B49" s="62"/>
      <c r="C49" s="62"/>
      <c r="E49" s="62"/>
      <c r="F49" s="1"/>
      <c r="H49" s="1"/>
      <c r="I49" s="1"/>
      <c r="J49" s="1"/>
      <c r="K49" s="1"/>
      <c r="L49" s="1"/>
      <c r="M49" s="1"/>
      <c r="N49" s="1"/>
      <c r="O49" s="1"/>
      <c r="P49" s="1"/>
      <c r="Q49" s="97"/>
      <c r="R49" s="97"/>
      <c r="S49" s="97"/>
      <c r="T49" s="97"/>
      <c r="U49" s="97"/>
    </row>
    <row r="50" spans="2:21" s="74" customFormat="1" x14ac:dyDescent="0.25">
      <c r="B50" s="62"/>
      <c r="C50" s="62"/>
      <c r="E50" s="62"/>
      <c r="F50" s="1"/>
      <c r="H50" s="1"/>
      <c r="I50" s="1"/>
      <c r="J50" s="1"/>
      <c r="K50" s="1"/>
      <c r="L50" s="1"/>
      <c r="M50" s="1"/>
      <c r="N50" s="1"/>
      <c r="O50" s="1"/>
      <c r="P50" s="1"/>
      <c r="Q50" s="97"/>
      <c r="R50" s="97"/>
      <c r="S50" s="97"/>
      <c r="T50" s="97"/>
      <c r="U50" s="97"/>
    </row>
    <row r="51" spans="2:21" s="74" customFormat="1" x14ac:dyDescent="0.25">
      <c r="B51" s="62"/>
      <c r="C51" s="62"/>
      <c r="E51" s="62"/>
      <c r="F51" s="1"/>
      <c r="H51" s="1"/>
      <c r="I51" s="1"/>
      <c r="J51" s="1"/>
      <c r="K51" s="1"/>
      <c r="L51" s="1"/>
      <c r="M51" s="1"/>
      <c r="N51" s="1"/>
      <c r="O51" s="1"/>
      <c r="P51" s="1"/>
      <c r="Q51" s="97"/>
      <c r="R51" s="97"/>
      <c r="S51" s="97"/>
      <c r="T51" s="97"/>
      <c r="U51" s="97"/>
    </row>
    <row r="52" spans="2:21" s="74" customFormat="1" x14ac:dyDescent="0.25">
      <c r="B52" s="62"/>
      <c r="C52" s="62"/>
      <c r="E52" s="62"/>
      <c r="F52" s="1"/>
      <c r="H52" s="1"/>
      <c r="I52" s="1"/>
      <c r="J52" s="1"/>
      <c r="K52" s="1"/>
      <c r="L52" s="1"/>
      <c r="M52" s="1"/>
      <c r="N52" s="1"/>
      <c r="O52" s="1"/>
      <c r="P52" s="1"/>
      <c r="Q52" s="97"/>
      <c r="R52" s="97"/>
      <c r="S52" s="97"/>
      <c r="T52" s="97"/>
      <c r="U52" s="97"/>
    </row>
    <row r="53" spans="2:21" s="74" customFormat="1" x14ac:dyDescent="0.25">
      <c r="B53" s="62"/>
      <c r="C53" s="62"/>
      <c r="E53" s="62"/>
      <c r="F53" s="1"/>
      <c r="H53" s="1"/>
      <c r="I53" s="1"/>
      <c r="J53" s="1"/>
      <c r="K53" s="1"/>
      <c r="L53" s="1"/>
      <c r="M53" s="1"/>
      <c r="N53" s="1"/>
      <c r="O53" s="1"/>
      <c r="P53" s="1"/>
      <c r="Q53" s="97"/>
      <c r="R53" s="97"/>
      <c r="S53" s="97"/>
      <c r="T53" s="97"/>
      <c r="U53" s="97"/>
    </row>
    <row r="54" spans="2:21" s="74" customFormat="1" x14ac:dyDescent="0.25">
      <c r="B54" s="62"/>
      <c r="C54" s="62"/>
      <c r="E54" s="62"/>
      <c r="F54" s="1"/>
      <c r="H54" s="1"/>
      <c r="I54" s="1"/>
      <c r="J54" s="1"/>
      <c r="K54" s="1"/>
      <c r="L54" s="1"/>
      <c r="M54" s="1"/>
      <c r="N54" s="1"/>
      <c r="O54" s="1"/>
      <c r="P54" s="1"/>
      <c r="Q54" s="97"/>
      <c r="R54" s="97"/>
      <c r="S54" s="97"/>
      <c r="T54" s="97"/>
      <c r="U54" s="97"/>
    </row>
    <row r="55" spans="2:21" s="74" customFormat="1" x14ac:dyDescent="0.25">
      <c r="B55" s="85"/>
      <c r="C55" s="85"/>
      <c r="E55" s="85"/>
      <c r="F55" s="75"/>
      <c r="H55" s="75"/>
      <c r="I55" s="75"/>
      <c r="J55" s="75"/>
      <c r="K55" s="75"/>
      <c r="L55" s="75"/>
      <c r="M55" s="75"/>
      <c r="N55" s="75"/>
      <c r="O55" s="75"/>
      <c r="P55" s="75"/>
      <c r="Q55" s="97"/>
      <c r="R55" s="97"/>
      <c r="S55" s="97"/>
      <c r="T55" s="97"/>
      <c r="U55" s="97"/>
    </row>
    <row r="56" spans="2:21" s="74" customFormat="1" x14ac:dyDescent="0.25">
      <c r="F56" s="77"/>
      <c r="H56" s="76"/>
      <c r="I56" s="76"/>
      <c r="J56" s="76"/>
      <c r="K56" s="76"/>
      <c r="L56" s="76"/>
      <c r="M56" s="76"/>
      <c r="N56" s="76"/>
      <c r="O56" s="78"/>
      <c r="P56" s="78"/>
      <c r="Q56" s="97"/>
      <c r="R56" s="97"/>
      <c r="S56" s="97"/>
      <c r="T56" s="97"/>
      <c r="U56" s="97"/>
    </row>
    <row r="57" spans="2:21" s="74" customFormat="1" x14ac:dyDescent="0.25">
      <c r="F57" s="77"/>
      <c r="H57" s="76"/>
      <c r="I57" s="76"/>
      <c r="J57" s="76"/>
      <c r="K57" s="76"/>
      <c r="L57" s="76"/>
      <c r="M57" s="76"/>
      <c r="N57" s="76"/>
      <c r="O57" s="78"/>
      <c r="P57" s="78"/>
      <c r="Q57" s="97"/>
      <c r="R57" s="97"/>
      <c r="S57" s="97"/>
      <c r="T57" s="97"/>
      <c r="U57" s="97"/>
    </row>
    <row r="58" spans="2:21" s="74" customFormat="1" x14ac:dyDescent="0.25">
      <c r="F58" s="77"/>
      <c r="H58" s="76"/>
      <c r="I58" s="76"/>
      <c r="J58" s="76"/>
      <c r="K58" s="76"/>
      <c r="L58" s="76"/>
      <c r="M58" s="76"/>
      <c r="N58" s="76"/>
      <c r="O58" s="78"/>
      <c r="P58" s="78"/>
      <c r="Q58" s="97"/>
      <c r="R58" s="97"/>
      <c r="S58" s="97"/>
      <c r="T58" s="97"/>
      <c r="U58" s="97"/>
    </row>
    <row r="59" spans="2:21" s="74" customFormat="1" x14ac:dyDescent="0.25">
      <c r="F59" s="77"/>
      <c r="H59" s="76"/>
      <c r="I59" s="76"/>
      <c r="J59" s="76"/>
      <c r="K59" s="76"/>
      <c r="L59" s="76"/>
      <c r="M59" s="76"/>
      <c r="N59" s="76"/>
      <c r="O59" s="78"/>
      <c r="P59" s="78"/>
      <c r="Q59" s="97"/>
      <c r="R59" s="97"/>
      <c r="S59" s="97"/>
      <c r="T59" s="97"/>
      <c r="U59" s="97"/>
    </row>
    <row r="60" spans="2:21" ht="21.6" customHeight="1" x14ac:dyDescent="0.25">
      <c r="B60" s="79"/>
      <c r="C60" s="79"/>
      <c r="E60" s="79"/>
      <c r="F60" s="79"/>
      <c r="H60" s="79"/>
      <c r="I60" s="79"/>
      <c r="J60" s="79"/>
      <c r="K60" s="79"/>
      <c r="L60" s="79"/>
      <c r="M60" s="79"/>
      <c r="N60" s="79"/>
      <c r="O60" s="79"/>
      <c r="P60" s="79"/>
    </row>
    <row r="61" spans="2:21" s="74" customFormat="1" x14ac:dyDescent="0.25">
      <c r="B61" s="20"/>
      <c r="C61" s="3"/>
      <c r="E61" s="20"/>
      <c r="F61" s="1"/>
      <c r="H61" s="2"/>
      <c r="I61" s="20"/>
      <c r="J61" s="80"/>
      <c r="K61" s="80"/>
      <c r="L61" s="80"/>
      <c r="M61" s="20"/>
      <c r="N61" s="1"/>
      <c r="O61" s="20"/>
      <c r="P61" s="1"/>
      <c r="Q61" s="97"/>
      <c r="R61" s="97"/>
      <c r="S61" s="97"/>
      <c r="T61" s="97"/>
      <c r="U61" s="97"/>
    </row>
    <row r="62" spans="2:21" s="74" customFormat="1" x14ac:dyDescent="0.25">
      <c r="B62" s="20"/>
      <c r="C62" s="3"/>
      <c r="E62" s="20"/>
      <c r="F62" s="2"/>
      <c r="H62" s="2"/>
      <c r="I62" s="20"/>
      <c r="J62" s="1"/>
      <c r="K62" s="1"/>
      <c r="L62" s="1"/>
      <c r="M62" s="20"/>
      <c r="N62" s="3"/>
      <c r="O62" s="20"/>
      <c r="P62" s="1"/>
      <c r="Q62" s="97"/>
      <c r="R62" s="97"/>
      <c r="S62" s="97"/>
      <c r="T62" s="97"/>
      <c r="U62" s="97"/>
    </row>
    <row r="63" spans="2:21" s="74" customFormat="1" x14ac:dyDescent="0.25">
      <c r="B63" s="20"/>
      <c r="C63" s="3"/>
      <c r="E63" s="20"/>
      <c r="F63" s="2"/>
      <c r="H63" s="2"/>
      <c r="I63" s="20"/>
      <c r="J63" s="4"/>
      <c r="K63" s="4"/>
      <c r="L63" s="4"/>
      <c r="M63" s="20"/>
      <c r="N63" s="1"/>
      <c r="O63" s="20"/>
      <c r="P63" s="62"/>
      <c r="Q63" s="97"/>
      <c r="R63" s="97"/>
      <c r="S63" s="97"/>
      <c r="T63" s="97"/>
      <c r="U63" s="97"/>
    </row>
    <row r="64" spans="2:21" s="74" customFormat="1" x14ac:dyDescent="0.25">
      <c r="B64" s="2"/>
      <c r="C64" s="2"/>
      <c r="E64" s="2"/>
      <c r="F64" s="2"/>
      <c r="H64" s="2"/>
      <c r="I64" s="20"/>
      <c r="J64" s="50"/>
      <c r="K64" s="50"/>
      <c r="L64" s="50"/>
      <c r="M64" s="20"/>
      <c r="N64" s="4"/>
      <c r="O64" s="2"/>
      <c r="P64" s="2"/>
      <c r="Q64" s="97"/>
      <c r="R64" s="97"/>
      <c r="S64" s="97"/>
      <c r="T64" s="97"/>
      <c r="U64" s="97"/>
    </row>
    <row r="65" spans="2:21" ht="8.4499999999999993" customHeight="1" x14ac:dyDescent="0.25">
      <c r="I65" s="82"/>
      <c r="J65" s="83"/>
      <c r="K65" s="83"/>
      <c r="L65" s="83"/>
      <c r="N65" s="84"/>
    </row>
    <row r="66" spans="2:21" s="74" customFormat="1" ht="33.6" customHeight="1" x14ac:dyDescent="0.25">
      <c r="B66" s="52"/>
      <c r="C66" s="52"/>
      <c r="E66" s="52"/>
      <c r="F66" s="52"/>
      <c r="H66" s="52"/>
      <c r="I66" s="52"/>
      <c r="J66" s="52"/>
      <c r="K66" s="52"/>
      <c r="L66" s="52"/>
      <c r="M66" s="52"/>
      <c r="N66" s="52"/>
      <c r="O66" s="52"/>
      <c r="P66" s="52"/>
      <c r="Q66" s="97"/>
      <c r="R66" s="97"/>
      <c r="S66" s="97"/>
      <c r="T66" s="97"/>
      <c r="U66" s="97"/>
    </row>
    <row r="67" spans="2:21" s="74" customFormat="1" x14ac:dyDescent="0.25">
      <c r="B67" s="62"/>
      <c r="C67" s="62"/>
      <c r="E67" s="62"/>
      <c r="F67" s="1"/>
      <c r="H67" s="1"/>
      <c r="I67" s="1"/>
      <c r="J67" s="1"/>
      <c r="K67" s="1"/>
      <c r="L67" s="1"/>
      <c r="M67" s="1"/>
      <c r="N67" s="1"/>
      <c r="O67" s="1"/>
      <c r="P67" s="1"/>
      <c r="Q67" s="97"/>
      <c r="R67" s="97"/>
      <c r="S67" s="97"/>
      <c r="T67" s="97"/>
      <c r="U67" s="97"/>
    </row>
    <row r="68" spans="2:21" s="74" customFormat="1" x14ac:dyDescent="0.25">
      <c r="B68" s="62"/>
      <c r="C68" s="62"/>
      <c r="E68" s="62"/>
      <c r="F68" s="1"/>
      <c r="H68" s="1"/>
      <c r="I68" s="1"/>
      <c r="J68" s="1"/>
      <c r="K68" s="1"/>
      <c r="L68" s="1"/>
      <c r="M68" s="1"/>
      <c r="N68" s="1"/>
      <c r="O68" s="1"/>
      <c r="P68" s="1"/>
      <c r="Q68" s="97"/>
      <c r="R68" s="97"/>
      <c r="S68" s="97"/>
      <c r="T68" s="97"/>
      <c r="U68" s="97"/>
    </row>
    <row r="69" spans="2:21" s="74" customFormat="1" x14ac:dyDescent="0.25">
      <c r="B69" s="62"/>
      <c r="C69" s="62"/>
      <c r="E69" s="62"/>
      <c r="F69" s="1"/>
      <c r="H69" s="1"/>
      <c r="I69" s="1"/>
      <c r="J69" s="1"/>
      <c r="K69" s="1"/>
      <c r="L69" s="1"/>
      <c r="M69" s="1"/>
      <c r="N69" s="1"/>
      <c r="O69" s="1"/>
      <c r="P69" s="1"/>
      <c r="Q69" s="97"/>
      <c r="R69" s="97"/>
      <c r="S69" s="97"/>
      <c r="T69" s="97"/>
      <c r="U69" s="97"/>
    </row>
    <row r="70" spans="2:21" s="74" customFormat="1" x14ac:dyDescent="0.25">
      <c r="B70" s="62"/>
      <c r="C70" s="62"/>
      <c r="E70" s="62"/>
      <c r="F70" s="1"/>
      <c r="H70" s="1"/>
      <c r="I70" s="1"/>
      <c r="J70" s="1"/>
      <c r="K70" s="1"/>
      <c r="L70" s="1"/>
      <c r="M70" s="1"/>
      <c r="N70" s="1"/>
      <c r="O70" s="1"/>
      <c r="P70" s="1"/>
      <c r="Q70" s="97"/>
      <c r="R70" s="97"/>
      <c r="S70" s="97"/>
      <c r="T70" s="97"/>
      <c r="U70" s="97"/>
    </row>
    <row r="71" spans="2:21" s="74" customFormat="1" x14ac:dyDescent="0.25">
      <c r="B71" s="62"/>
      <c r="C71" s="62"/>
      <c r="E71" s="62"/>
      <c r="F71" s="1"/>
      <c r="H71" s="1"/>
      <c r="I71" s="1"/>
      <c r="J71" s="1"/>
      <c r="K71" s="1"/>
      <c r="L71" s="1"/>
      <c r="M71" s="1"/>
      <c r="N71" s="1"/>
      <c r="O71" s="1"/>
      <c r="P71" s="1"/>
      <c r="Q71" s="97"/>
      <c r="R71" s="97"/>
      <c r="S71" s="97"/>
      <c r="T71" s="97"/>
      <c r="U71" s="97"/>
    </row>
    <row r="72" spans="2:21" s="74" customFormat="1" x14ac:dyDescent="0.25">
      <c r="B72" s="62"/>
      <c r="C72" s="62"/>
      <c r="E72" s="62"/>
      <c r="F72" s="1"/>
      <c r="H72" s="1"/>
      <c r="I72" s="1"/>
      <c r="J72" s="1"/>
      <c r="K72" s="1"/>
      <c r="L72" s="1"/>
      <c r="M72" s="1"/>
      <c r="N72" s="1"/>
      <c r="O72" s="1"/>
      <c r="P72" s="1"/>
      <c r="Q72" s="97"/>
      <c r="R72" s="97"/>
      <c r="S72" s="97"/>
      <c r="T72" s="97"/>
      <c r="U72" s="97"/>
    </row>
    <row r="73" spans="2:21" s="74" customFormat="1" x14ac:dyDescent="0.25">
      <c r="B73" s="62"/>
      <c r="C73" s="62"/>
      <c r="E73" s="62"/>
      <c r="F73" s="1"/>
      <c r="H73" s="1"/>
      <c r="I73" s="1"/>
      <c r="J73" s="1"/>
      <c r="K73" s="1"/>
      <c r="L73" s="1"/>
      <c r="M73" s="1"/>
      <c r="N73" s="1"/>
      <c r="O73" s="1"/>
      <c r="P73" s="1"/>
      <c r="Q73" s="97"/>
      <c r="R73" s="97"/>
      <c r="S73" s="97"/>
      <c r="T73" s="97"/>
      <c r="U73" s="97"/>
    </row>
    <row r="74" spans="2:21" s="74" customFormat="1" x14ac:dyDescent="0.25">
      <c r="B74" s="62"/>
      <c r="C74" s="62"/>
      <c r="E74" s="62"/>
      <c r="F74" s="1"/>
      <c r="H74" s="1"/>
      <c r="I74" s="1"/>
      <c r="J74" s="1"/>
      <c r="K74" s="1"/>
      <c r="L74" s="1"/>
      <c r="M74" s="1"/>
      <c r="N74" s="1"/>
      <c r="O74" s="1"/>
      <c r="P74" s="1"/>
      <c r="Q74" s="97"/>
      <c r="R74" s="97"/>
      <c r="S74" s="97"/>
      <c r="T74" s="97"/>
      <c r="U74" s="97"/>
    </row>
    <row r="75" spans="2:21" s="74" customFormat="1" x14ac:dyDescent="0.25">
      <c r="B75" s="62"/>
      <c r="C75" s="62"/>
      <c r="E75" s="62"/>
      <c r="F75" s="1"/>
      <c r="H75" s="1"/>
      <c r="I75" s="1"/>
      <c r="J75" s="1"/>
      <c r="K75" s="1"/>
      <c r="L75" s="1"/>
      <c r="M75" s="1"/>
      <c r="N75" s="1"/>
      <c r="O75" s="1"/>
      <c r="P75" s="1"/>
      <c r="Q75" s="97"/>
      <c r="R75" s="97"/>
      <c r="S75" s="97"/>
      <c r="T75" s="97"/>
      <c r="U75" s="97"/>
    </row>
    <row r="76" spans="2:21" s="74" customFormat="1" x14ac:dyDescent="0.25">
      <c r="B76" s="62"/>
      <c r="C76" s="62"/>
      <c r="E76" s="62"/>
      <c r="F76" s="1"/>
      <c r="H76" s="1"/>
      <c r="I76" s="1"/>
      <c r="J76" s="1"/>
      <c r="K76" s="1"/>
      <c r="L76" s="1"/>
      <c r="M76" s="1"/>
      <c r="N76" s="1"/>
      <c r="O76" s="1"/>
      <c r="P76" s="1"/>
      <c r="Q76" s="97"/>
      <c r="R76" s="97"/>
      <c r="S76" s="97"/>
      <c r="T76" s="97"/>
      <c r="U76" s="97"/>
    </row>
    <row r="77" spans="2:21" s="74" customFormat="1" x14ac:dyDescent="0.25">
      <c r="B77" s="62"/>
      <c r="C77" s="62"/>
      <c r="E77" s="62"/>
      <c r="F77" s="1"/>
      <c r="H77" s="1"/>
      <c r="I77" s="1"/>
      <c r="J77" s="1"/>
      <c r="K77" s="1"/>
      <c r="L77" s="1"/>
      <c r="M77" s="1"/>
      <c r="N77" s="1"/>
      <c r="O77" s="1"/>
      <c r="P77" s="1"/>
      <c r="Q77" s="97"/>
      <c r="R77" s="97"/>
      <c r="S77" s="97"/>
      <c r="T77" s="97"/>
      <c r="U77" s="97"/>
    </row>
    <row r="78" spans="2:21" s="74" customFormat="1" x14ac:dyDescent="0.25">
      <c r="B78" s="62"/>
      <c r="C78" s="62"/>
      <c r="E78" s="62"/>
      <c r="F78" s="1"/>
      <c r="H78" s="1"/>
      <c r="I78" s="1"/>
      <c r="J78" s="1"/>
      <c r="K78" s="1"/>
      <c r="L78" s="1"/>
      <c r="M78" s="1"/>
      <c r="N78" s="1"/>
      <c r="O78" s="1"/>
      <c r="P78" s="1"/>
      <c r="Q78" s="97"/>
      <c r="R78" s="97"/>
      <c r="S78" s="97"/>
      <c r="T78" s="97"/>
      <c r="U78" s="97"/>
    </row>
    <row r="79" spans="2:21" s="74" customFormat="1" x14ac:dyDescent="0.25">
      <c r="B79" s="85"/>
      <c r="C79" s="85"/>
      <c r="E79" s="85"/>
      <c r="F79" s="75"/>
      <c r="H79" s="75"/>
      <c r="I79" s="75"/>
      <c r="J79" s="75"/>
      <c r="K79" s="75"/>
      <c r="L79" s="75"/>
      <c r="M79" s="75"/>
      <c r="N79" s="75"/>
      <c r="O79" s="75"/>
      <c r="P79" s="75"/>
      <c r="Q79" s="97"/>
      <c r="R79" s="97"/>
      <c r="S79" s="97"/>
      <c r="T79" s="97"/>
      <c r="U79" s="97"/>
    </row>
    <row r="80" spans="2:21" s="74" customFormat="1" x14ac:dyDescent="0.25">
      <c r="F80" s="77"/>
      <c r="H80" s="76"/>
      <c r="I80" s="76"/>
      <c r="J80" s="76"/>
      <c r="K80" s="76"/>
      <c r="L80" s="76"/>
      <c r="M80" s="76"/>
      <c r="N80" s="76"/>
      <c r="O80" s="78"/>
      <c r="P80" s="78"/>
      <c r="Q80" s="97"/>
      <c r="R80" s="97"/>
      <c r="S80" s="97"/>
      <c r="T80" s="97"/>
      <c r="U80" s="97"/>
    </row>
    <row r="81" spans="2:21" s="74" customFormat="1" x14ac:dyDescent="0.25">
      <c r="F81" s="77"/>
      <c r="H81" s="76"/>
      <c r="I81" s="76"/>
      <c r="J81" s="76"/>
      <c r="K81" s="76"/>
      <c r="L81" s="76"/>
      <c r="M81" s="76"/>
      <c r="N81" s="76"/>
      <c r="O81" s="78"/>
      <c r="P81" s="78"/>
      <c r="Q81" s="97"/>
      <c r="R81" s="97"/>
      <c r="S81" s="97"/>
      <c r="T81" s="97"/>
      <c r="U81" s="97"/>
    </row>
    <row r="82" spans="2:21" s="74" customFormat="1" x14ac:dyDescent="0.25">
      <c r="F82" s="77"/>
      <c r="H82" s="76"/>
      <c r="I82" s="76"/>
      <c r="J82" s="76"/>
      <c r="K82" s="76"/>
      <c r="L82" s="76"/>
      <c r="M82" s="76"/>
      <c r="N82" s="76"/>
      <c r="O82" s="78"/>
      <c r="P82" s="78"/>
      <c r="Q82" s="97"/>
      <c r="R82" s="97"/>
      <c r="S82" s="97"/>
      <c r="T82" s="97"/>
      <c r="U82" s="97"/>
    </row>
    <row r="83" spans="2:21" s="74" customFormat="1" x14ac:dyDescent="0.25">
      <c r="F83" s="77"/>
      <c r="H83" s="76"/>
      <c r="I83" s="76"/>
      <c r="J83" s="76"/>
      <c r="K83" s="76"/>
      <c r="L83" s="76"/>
      <c r="M83" s="76"/>
      <c r="N83" s="76"/>
      <c r="O83" s="78"/>
      <c r="P83" s="78"/>
      <c r="Q83" s="97"/>
      <c r="R83" s="97"/>
      <c r="S83" s="97"/>
      <c r="T83" s="97"/>
      <c r="U83" s="97"/>
    </row>
    <row r="84" spans="2:21" s="74" customFormat="1" x14ac:dyDescent="0.25">
      <c r="F84" s="77"/>
      <c r="H84" s="76"/>
      <c r="I84" s="76"/>
      <c r="J84" s="76"/>
      <c r="K84" s="76"/>
      <c r="L84" s="76"/>
      <c r="M84" s="76"/>
      <c r="N84" s="76"/>
      <c r="O84" s="78"/>
      <c r="P84" s="78"/>
      <c r="Q84" s="97"/>
      <c r="R84" s="97"/>
      <c r="S84" s="97"/>
      <c r="T84" s="97"/>
      <c r="U84" s="97"/>
    </row>
    <row r="85" spans="2:21" s="74" customFormat="1" x14ac:dyDescent="0.25">
      <c r="F85" s="77"/>
      <c r="H85" s="76"/>
      <c r="I85" s="76"/>
      <c r="J85" s="76"/>
      <c r="K85" s="76"/>
      <c r="L85" s="76"/>
      <c r="M85" s="76"/>
      <c r="N85" s="76"/>
      <c r="O85" s="78"/>
      <c r="P85" s="78"/>
      <c r="Q85" s="97"/>
      <c r="R85" s="97"/>
      <c r="S85" s="97"/>
      <c r="T85" s="97"/>
      <c r="U85" s="97"/>
    </row>
    <row r="90" spans="2:21" x14ac:dyDescent="0.25">
      <c r="B90" s="74"/>
      <c r="E90" s="74"/>
    </row>
  </sheetData>
  <sheetProtection algorithmName="SHA-512" hashValue="Ex56nrLRQfTtZ+T+lICSX+WQaOE4B0t4P9tYsI+CnZ2m2P3CmT2d705FouMQlAk4Yb5c4n1TNyrtwW/Aq+pCVg==" saltValue="6lGl36iwtHaYViJvdj8ffw==" spinCount="100000" sheet="1" objects="1" scenarios="1" selectLockedCells="1" selectUnlockedCells="1"/>
  <mergeCells count="7">
    <mergeCell ref="C30:E30"/>
    <mergeCell ref="B6:P6"/>
    <mergeCell ref="C8:D8"/>
    <mergeCell ref="F8:G8"/>
    <mergeCell ref="I8:L8"/>
    <mergeCell ref="N8:O8"/>
    <mergeCell ref="B15:P15"/>
  </mergeCells>
  <conditionalFormatting sqref="P38">
    <cfRule type="cellIs" dxfId="3" priority="4" operator="lessThan">
      <formula>0</formula>
    </cfRule>
  </conditionalFormatting>
  <conditionalFormatting sqref="P62">
    <cfRule type="cellIs" dxfId="2" priority="3" operator="lessThan">
      <formula>0</formula>
    </cfRule>
  </conditionalFormatting>
  <conditionalFormatting sqref="B7:C7 E7:F7 H7:P7 B6">
    <cfRule type="containsText" dxfId="1" priority="2" operator="containsText" text="KO">
      <formula>NOT(ISERROR(SEARCH("KO",B6)))</formula>
    </cfRule>
  </conditionalFormatting>
  <conditionalFormatting sqref="B15:B16">
    <cfRule type="containsText" dxfId="0" priority="1" operator="containsText" text="KO">
      <formula>NOT(ISERROR(SEARCH("KO",B15)))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6E92288-3F0B-4BE9-8A3A-CC70CE57673A}">
          <x14:formula1>
            <xm:f>Input!$H$2:$H$4</xm:f>
          </x14:formula1>
          <xm:sqref>J37:L37</xm:sqref>
        </x14:dataValidation>
        <x14:dataValidation type="list" allowBlank="1" showInputMessage="1" showErrorMessage="1" xr:uid="{7235D6C0-B130-4CE2-B8D9-B12B5F129ECD}">
          <x14:formula1>
            <xm:f>Input!$J$2:$J$3</xm:f>
          </x14:formula1>
          <xm:sqref>N40 N64</xm:sqref>
        </x14:dataValidation>
        <x14:dataValidation type="list" allowBlank="1" showInputMessage="1" showErrorMessage="1" xr:uid="{936412D4-4652-47BA-98FC-B56A48F6F1FB}">
          <x14:formula1>
            <xm:f>Input!$E$2:$E$4</xm:f>
          </x14:formula1>
          <xm:sqref>P63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zoomScale="85" zoomScaleNormal="115" workbookViewId="0">
      <selection activeCell="B15" sqref="B15:P15"/>
    </sheetView>
  </sheetViews>
  <sheetFormatPr defaultColWidth="8.7109375" defaultRowHeight="15" x14ac:dyDescent="0.25"/>
  <cols>
    <col min="1" max="4" width="8.7109375" style="98"/>
    <col min="5" max="5" width="11.28515625" style="98" bestFit="1" customWidth="1"/>
    <col min="6" max="7" width="8.7109375" style="98"/>
    <col min="8" max="8" width="37.85546875" style="98" bestFit="1" customWidth="1"/>
    <col min="9" max="12" width="8.7109375" style="98"/>
    <col min="13" max="13" width="29" style="98" bestFit="1" customWidth="1"/>
    <col min="14" max="16384" width="8.7109375" style="98"/>
  </cols>
  <sheetData>
    <row r="1" spans="1:16" x14ac:dyDescent="0.25">
      <c r="A1" s="98">
        <v>1</v>
      </c>
      <c r="B1" s="99">
        <v>0</v>
      </c>
      <c r="E1" s="98" t="s">
        <v>11</v>
      </c>
      <c r="F1" s="98" t="s">
        <v>12</v>
      </c>
      <c r="H1" s="98" t="s">
        <v>28</v>
      </c>
      <c r="J1" s="100" t="s">
        <v>15</v>
      </c>
      <c r="K1" s="100"/>
      <c r="M1" s="98" t="s">
        <v>14</v>
      </c>
      <c r="N1" s="98" t="s">
        <v>19</v>
      </c>
      <c r="O1" s="98" t="s">
        <v>21</v>
      </c>
      <c r="P1" s="98" t="s">
        <v>22</v>
      </c>
    </row>
    <row r="2" spans="1:16" x14ac:dyDescent="0.25">
      <c r="A2" s="98">
        <v>2</v>
      </c>
      <c r="B2" s="99">
        <v>1.2</v>
      </c>
      <c r="E2" s="101" t="s">
        <v>32</v>
      </c>
      <c r="F2" s="98">
        <v>1</v>
      </c>
      <c r="H2" s="102">
        <v>0.1</v>
      </c>
      <c r="J2" s="100" t="s">
        <v>16</v>
      </c>
      <c r="K2" s="100" t="s">
        <v>16</v>
      </c>
      <c r="M2" s="98" t="s">
        <v>20</v>
      </c>
      <c r="N2" s="98" t="s">
        <v>7</v>
      </c>
      <c r="O2" s="98">
        <v>12</v>
      </c>
      <c r="P2" s="98">
        <v>4</v>
      </c>
    </row>
    <row r="3" spans="1:16" x14ac:dyDescent="0.25">
      <c r="A3" s="98">
        <v>3</v>
      </c>
      <c r="B3" s="99">
        <v>3</v>
      </c>
      <c r="E3" s="103" t="s">
        <v>33</v>
      </c>
      <c r="F3" s="98">
        <v>2</v>
      </c>
      <c r="H3" s="102">
        <v>0.5</v>
      </c>
      <c r="J3" s="100" t="s">
        <v>17</v>
      </c>
      <c r="K3" s="100" t="s">
        <v>17</v>
      </c>
      <c r="M3" s="98" t="s">
        <v>23</v>
      </c>
      <c r="N3" s="98" t="s">
        <v>10</v>
      </c>
      <c r="O3" s="98">
        <v>8</v>
      </c>
      <c r="P3" s="98">
        <v>4</v>
      </c>
    </row>
    <row r="4" spans="1:16" x14ac:dyDescent="0.25">
      <c r="B4" s="99"/>
      <c r="E4" s="103" t="s">
        <v>35</v>
      </c>
      <c r="F4" s="98">
        <v>3</v>
      </c>
      <c r="H4" s="102">
        <v>0.8</v>
      </c>
      <c r="M4" s="98" t="s">
        <v>24</v>
      </c>
      <c r="N4" s="98" t="s">
        <v>10</v>
      </c>
      <c r="O4" s="98">
        <v>8</v>
      </c>
      <c r="P4" s="98">
        <v>4</v>
      </c>
    </row>
    <row r="5" spans="1:16" x14ac:dyDescent="0.25">
      <c r="B5" s="99"/>
      <c r="E5" s="98">
        <v>10</v>
      </c>
      <c r="F5" s="98" t="s">
        <v>13</v>
      </c>
      <c r="M5" s="98" t="s">
        <v>25</v>
      </c>
      <c r="N5" s="98" t="s">
        <v>10</v>
      </c>
      <c r="O5" s="98">
        <v>8</v>
      </c>
      <c r="P5" s="98">
        <v>4</v>
      </c>
    </row>
    <row r="6" spans="1:16" x14ac:dyDescent="0.25">
      <c r="E6" s="98">
        <v>11</v>
      </c>
      <c r="F6" s="98" t="s">
        <v>13</v>
      </c>
      <c r="M6" s="98" t="s">
        <v>26</v>
      </c>
      <c r="N6" s="98" t="s">
        <v>10</v>
      </c>
      <c r="O6" s="98">
        <v>12</v>
      </c>
      <c r="P6" s="98">
        <v>4</v>
      </c>
    </row>
    <row r="7" spans="1:16" x14ac:dyDescent="0.25">
      <c r="E7" s="98">
        <v>12</v>
      </c>
      <c r="F7" s="98" t="s">
        <v>13</v>
      </c>
      <c r="M7" s="98" t="s">
        <v>27</v>
      </c>
      <c r="N7" s="98" t="s">
        <v>10</v>
      </c>
      <c r="O7" s="98">
        <v>8</v>
      </c>
      <c r="P7" s="98">
        <v>4</v>
      </c>
    </row>
  </sheetData>
  <sheetProtection algorithmName="SHA-512" hashValue="tYvTEu14+R2EBDt0+A3g1aL1NJk39S9vmk3pNEZNHxhIis0cVxaW/4XNdtKcU81jcd6sCxg9r8XBJF1lwkeSkg==" saltValue="k1wkrMJmm4ldvf/aM496g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Sintesi</vt:lpstr>
      <vt:lpstr>Piano amm_Scoring migliori</vt:lpstr>
      <vt:lpstr>Piano amm_Scoring intermedi</vt:lpstr>
      <vt:lpstr>Piano amm_Scoring ultimi</vt:lpstr>
      <vt:lpstr>Input</vt:lpstr>
      <vt:lpstr>ListaCat</vt:lpstr>
      <vt:lpstr>No</vt:lpstr>
      <vt:lpstr>Sì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Bassotti, Luca</dc:creator>
  <cp:lastModifiedBy>D'Aguanno, Andrea</cp:lastModifiedBy>
  <dcterms:created xsi:type="dcterms:W3CDTF">2022-08-27T19:43:51Z</dcterms:created>
  <dcterms:modified xsi:type="dcterms:W3CDTF">2023-10-06T09:56:34Z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62b6ef-db1a-4e15-b1cb-16e3a6a11a3f_Enabled">
    <vt:lpwstr>true</vt:lpwstr>
  </property>
  <property fmtid="{D5CDD505-2E9C-101B-9397-08002B2CF9AE}" pid="3" name="MSIP_Label_be62b6ef-db1a-4e15-b1cb-16e3a6a11a3f_SetDate">
    <vt:lpwstr>2022-08-27T20:15:39Z</vt:lpwstr>
  </property>
  <property fmtid="{D5CDD505-2E9C-101B-9397-08002B2CF9AE}" pid="4" name="MSIP_Label_be62b6ef-db1a-4e15-b1cb-16e3a6a11a3f_Method">
    <vt:lpwstr>Privileged</vt:lpwstr>
  </property>
  <property fmtid="{D5CDD505-2E9C-101B-9397-08002B2CF9AE}" pid="5" name="MSIP_Label_be62b6ef-db1a-4e15-b1cb-16e3a6a11a3f_Name">
    <vt:lpwstr>sace_0002</vt:lpwstr>
  </property>
  <property fmtid="{D5CDD505-2E9C-101B-9397-08002B2CF9AE}" pid="6" name="MSIP_Label_be62b6ef-db1a-4e15-b1cb-16e3a6a11a3f_SiteId">
    <vt:lpwstr>91443f7c-eefc-48b6-9946-a96937f65fc0</vt:lpwstr>
  </property>
  <property fmtid="{D5CDD505-2E9C-101B-9397-08002B2CF9AE}" pid="7" name="MSIP_Label_be62b6ef-db1a-4e15-b1cb-16e3a6a11a3f_ActionId">
    <vt:lpwstr>2153abfa-f52a-4440-8143-7984d7e59a3c</vt:lpwstr>
  </property>
  <property fmtid="{D5CDD505-2E9C-101B-9397-08002B2CF9AE}" pid="8" name="MSIP_Label_be62b6ef-db1a-4e15-b1cb-16e3a6a11a3f_ContentBits">
    <vt:lpwstr>0</vt:lpwstr>
  </property>
</Properties>
</file>